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0" windowHeight="7545" tabRatio="962" activeTab="0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'5.kiadás'!$B$4:$F$244</definedName>
    <definedName name="_xlnm.Print_Titles" localSheetId="1">'2. Bevétel funkció'!$1:$6</definedName>
    <definedName name="_xlnm.Print_Titles" localSheetId="2">'3.Bevétel jogcím'!$1:$6</definedName>
    <definedName name="_xlnm.Print_Titles" localSheetId="4">'5.kiadás'!$1:$6</definedName>
    <definedName name="_xlnm.Print_Area" localSheetId="1">'2. Bevétel funkció'!$A$1:$H$128</definedName>
    <definedName name="_xlnm.Print_Area" localSheetId="2">'3.Bevétel jogcím'!$A$1:$I$78</definedName>
    <definedName name="_xlnm.Print_Area" localSheetId="4">'5.kiadás'!$A$1:$I$442</definedName>
  </definedNames>
  <calcPr fullCalcOnLoad="1"/>
</workbook>
</file>

<file path=xl/sharedStrings.xml><?xml version="1.0" encoding="utf-8"?>
<sst xmlns="http://schemas.openxmlformats.org/spreadsheetml/2006/main" count="2065" uniqueCount="859">
  <si>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</si>
  <si>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</si>
  <si>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</si>
  <si>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</si>
  <si>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</si>
  <si>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</si>
  <si>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</si>
  <si>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</si>
  <si>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</si>
  <si>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</si>
  <si>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</si>
  <si>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</si>
  <si>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</si>
  <si>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</si>
  <si>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</si>
  <si>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</si>
  <si>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</si>
  <si>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</si>
  <si>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</si>
  <si>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</si>
  <si>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</si>
  <si>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</si>
  <si>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</si>
  <si>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</si>
  <si>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</si>
  <si>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</si>
  <si>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</si>
  <si>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</si>
  <si>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</si>
  <si>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</si>
  <si>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</si>
  <si>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</si>
  <si>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</si>
  <si>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</si>
  <si>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</si>
  <si>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</si>
  <si>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</si>
  <si>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</si>
  <si>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</si>
  <si>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</si>
  <si>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</si>
  <si>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</si>
  <si>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</si>
  <si>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</si>
  <si>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</si>
  <si>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</si>
  <si>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</si>
  <si>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</si>
  <si>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</si>
  <si>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</si>
  <si>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</si>
  <si>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</si>
  <si>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</si>
  <si>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</si>
  <si>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</si>
  <si>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</si>
  <si>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</si>
  <si>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</si>
  <si>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</si>
  <si>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</si>
  <si>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</si>
  <si>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</si>
  <si>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</si>
  <si>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</si>
  <si>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</si>
  <si>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</si>
  <si>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</si>
  <si>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</si>
  <si>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</si>
  <si>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</si>
  <si>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</si>
  <si>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</si>
  <si>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</si>
  <si>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</si>
  <si>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</si>
  <si>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</si>
  <si>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</si>
  <si>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</si>
  <si>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</si>
  <si>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</si>
  <si>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</si>
  <si>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</si>
  <si>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</si>
  <si>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</si>
  <si>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</si>
  <si>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</si>
  <si>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</si>
  <si>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</si>
  <si>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</si>
  <si>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</si>
  <si>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 xml:space="preserve">B114 </t>
  </si>
  <si>
    <t>Települési önkormányzatok kulturális feladatainak támogatása</t>
  </si>
  <si>
    <t>B21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</si>
  <si>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</si>
  <si>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</si>
  <si>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</si>
  <si>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</si>
  <si>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</si>
  <si>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</si>
  <si>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</si>
  <si>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</si>
  <si>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</si>
  <si>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</si>
  <si>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</si>
  <si>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</si>
  <si>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</si>
  <si>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</si>
  <si>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</si>
  <si>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</si>
  <si>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</si>
  <si>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</si>
  <si>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</si>
  <si>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</si>
  <si>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</si>
  <si>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</si>
  <si>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</si>
  <si>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</si>
  <si>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</si>
  <si>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</si>
  <si>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</si>
  <si>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Települési önkormányzatok egyes köznevelési feladatainak támogatása</t>
  </si>
  <si>
    <t>Egyéb felhalmozási célú támogatások</t>
  </si>
  <si>
    <t>B361</t>
  </si>
  <si>
    <t>Közvetített szolgáltatások ellenértéke (Továbbszámlázott)</t>
  </si>
  <si>
    <t>Készletértékesítés ellenértéke (Tourinform)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</si>
  <si>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</si>
  <si>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</si>
  <si>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</si>
  <si>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</si>
  <si>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</si>
  <si>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</si>
  <si>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</si>
  <si>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</si>
  <si>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</si>
  <si>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</si>
  <si>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</si>
  <si>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</si>
  <si>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</si>
  <si>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</si>
  <si>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</si>
  <si>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</si>
  <si>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</si>
  <si>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</si>
  <si>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</si>
  <si>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</si>
  <si>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</si>
  <si>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</si>
  <si>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</si>
  <si>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</si>
  <si>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</si>
  <si>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</si>
  <si>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</si>
  <si>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</si>
  <si>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</si>
  <si>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</si>
  <si>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</si>
  <si>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</si>
  <si>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</si>
  <si>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</si>
  <si>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</si>
  <si>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</si>
  <si>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</si>
  <si>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</si>
  <si>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</si>
  <si>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</si>
  <si>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</si>
  <si>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</si>
  <si>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</si>
  <si>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</si>
  <si>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</si>
  <si>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</si>
  <si>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</si>
  <si>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</si>
  <si>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</si>
  <si>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</si>
  <si>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</si>
  <si>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</si>
  <si>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</si>
  <si>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</si>
  <si>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</si>
  <si>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</si>
  <si>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</si>
  <si>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</si>
  <si>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</si>
  <si>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</si>
  <si>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</si>
  <si>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</si>
  <si>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</si>
  <si>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</si>
  <si>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</si>
  <si>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</si>
  <si>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</si>
  <si>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</si>
  <si>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</si>
  <si>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</si>
  <si>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</si>
  <si>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</si>
  <si>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K506</t>
  </si>
  <si>
    <t>K512</t>
  </si>
  <si>
    <t>Egyéb működési célú támogatások államháztartáson kívülre</t>
  </si>
  <si>
    <t>K513</t>
  </si>
  <si>
    <t>Tartalékok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</si>
  <si>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</si>
  <si>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</si>
  <si>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</si>
  <si>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</si>
  <si>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</si>
  <si>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Társult önkormányzatok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</si>
  <si>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</si>
  <si>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</si>
  <si>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</si>
  <si>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</si>
  <si>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</si>
  <si>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</si>
  <si>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</si>
  <si>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</si>
  <si>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</si>
  <si>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</si>
  <si>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</si>
  <si>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</si>
  <si>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</si>
  <si>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</si>
  <si>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</si>
  <si>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</si>
  <si>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>045160   Közutak, hidak,alagútak üzemeltetése, fenntartása</t>
  </si>
  <si>
    <t>K71</t>
  </si>
  <si>
    <t>K74</t>
  </si>
  <si>
    <t>Felújítási célú előzetesen felszámított Áfa</t>
  </si>
  <si>
    <t>K313</t>
  </si>
  <si>
    <t>Árubeszerzés</t>
  </si>
  <si>
    <t>K342</t>
  </si>
  <si>
    <t>Reklám és propaganda kiadások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</si>
  <si>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</si>
  <si>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</si>
  <si>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</si>
  <si>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</si>
  <si>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</si>
  <si>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</si>
  <si>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</si>
  <si>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072111   Háziorvosi alapellátás</t>
  </si>
  <si>
    <t>072112   Háziorvosi ügyeleti ellátás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</si>
  <si>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</si>
  <si>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</si>
  <si>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</si>
  <si>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</si>
  <si>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</si>
  <si>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086030 Nemzetközi kulturális együttműködés</t>
  </si>
  <si>
    <t>Testvér városi-települési kiadások</t>
  </si>
  <si>
    <t>Ellátottak juttatásai</t>
  </si>
  <si>
    <t>107052   Házi segítségnyújtás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</si>
  <si>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</si>
  <si>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</si>
  <si>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</si>
  <si>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</si>
  <si>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</si>
  <si>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</si>
  <si>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</si>
  <si>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</si>
  <si>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</si>
  <si>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</si>
  <si>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</si>
  <si>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</si>
  <si>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</si>
  <si>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</si>
  <si>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</si>
  <si>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</si>
  <si>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</si>
  <si>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</si>
  <si>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</si>
  <si>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</si>
  <si>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</si>
  <si>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</si>
  <si>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</si>
  <si>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</si>
  <si>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</si>
  <si>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</si>
  <si>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</si>
  <si>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</si>
  <si>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</si>
  <si>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</si>
  <si>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</si>
  <si>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</si>
  <si>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</si>
  <si>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</si>
  <si>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</si>
  <si>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</si>
  <si>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</si>
  <si>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</si>
  <si>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</si>
  <si>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</si>
  <si>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</si>
  <si>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</si>
  <si>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</si>
  <si>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</si>
  <si>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</si>
  <si>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</si>
  <si>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</si>
  <si>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</si>
  <si>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</si>
  <si>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</si>
  <si>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</si>
  <si>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</si>
  <si>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>Normatív jutalom</t>
  </si>
  <si>
    <t>047120 Piac üzemeltetés</t>
  </si>
  <si>
    <t>Egyéb tárgyi eszközök beszerzése</t>
  </si>
  <si>
    <t>K64</t>
  </si>
  <si>
    <t>047120   Piac üzemeltetés, fenntartás</t>
  </si>
  <si>
    <t>047120    Piac üzemeltetése, fenntartása</t>
  </si>
  <si>
    <t>Jutalom</t>
  </si>
  <si>
    <t>NEAK támogatás</t>
  </si>
  <si>
    <t>Egyéb működési célú támogatás Önkormányzatnak</t>
  </si>
  <si>
    <t>Támogatás célú működési kiadás Közös Hivatalhoz</t>
  </si>
  <si>
    <t>Működési célú pénzeszköz átadás Tapolca Társulás</t>
  </si>
  <si>
    <t>Működési célú pénzeszköz átadás ,óvodai-iskolai busz bejárás támogatás</t>
  </si>
  <si>
    <t>Révfülöpi Óvoda Társulás támogatása</t>
  </si>
  <si>
    <t>Egyéb működési célú támogatás áh belülre Társulásnak</t>
  </si>
  <si>
    <t>Túlóra</t>
  </si>
  <si>
    <t>062020 Településfejlesztési projektek és támogatásuk</t>
  </si>
  <si>
    <t xml:space="preserve">Egyéb működési célú támogatások </t>
  </si>
  <si>
    <t xml:space="preserve">Foglalkoztatottak személyi juttatása </t>
  </si>
  <si>
    <t>062020    Területfejlesztési projektek és támogatások</t>
  </si>
  <si>
    <t>B407</t>
  </si>
  <si>
    <t>B75</t>
  </si>
  <si>
    <t>Egyéb felhalmozási célú átvett pénzeszközök</t>
  </si>
  <si>
    <t>Általános forgalmi adó visszatérítése</t>
  </si>
  <si>
    <t>042120    Mezőgazdasági támogatások</t>
  </si>
  <si>
    <t>042120   Mezőgazdasági támogatások</t>
  </si>
  <si>
    <t>K355</t>
  </si>
  <si>
    <t>Egyéb dologi kiadások</t>
  </si>
  <si>
    <t>Települési önk. Szociális feladatainek támogatása</t>
  </si>
  <si>
    <t>Intézményi gyermekétkeztetés támogatása</t>
  </si>
  <si>
    <t>B1132</t>
  </si>
  <si>
    <t>B1131</t>
  </si>
  <si>
    <t>K63</t>
  </si>
  <si>
    <t>Informatikai eszközök beszerzése</t>
  </si>
  <si>
    <t xml:space="preserve">ebből tartalék  </t>
  </si>
  <si>
    <t>Egyéb feladatok támogatása</t>
  </si>
  <si>
    <t>K502</t>
  </si>
  <si>
    <t>Helyi önkormányzat törvényi előíráson alapuló befizetések</t>
  </si>
  <si>
    <t>Ingatlan értékesítés</t>
  </si>
  <si>
    <t>Teljesítés   2020.év</t>
  </si>
  <si>
    <t>Óvodaépület fűtéskorszerűsítés</t>
  </si>
  <si>
    <t>B115</t>
  </si>
  <si>
    <t>Költségvetési támogatások, kiegészítő támogatások</t>
  </si>
  <si>
    <t>062020   Településfejlesztési projektek és támogatások</t>
  </si>
  <si>
    <t>018010  Önkormányzatok elszámolásai központi költsgévetéssel</t>
  </si>
  <si>
    <t>K5021</t>
  </si>
  <si>
    <t>Helyi önkormányzatok előző évi elszámolásából származó kiadások</t>
  </si>
  <si>
    <t>Képújság szolgáltatás</t>
  </si>
  <si>
    <t>Lakott külterülettel kapcs.támogatása</t>
  </si>
  <si>
    <t>Települési önk szociális és gyermekjóléti feladatainak támogatása</t>
  </si>
  <si>
    <t>Önkormányzatok támogatása óvodai ellátáshoz</t>
  </si>
  <si>
    <t>NEAK támogatás védőnői szolgálat működéséhez</t>
  </si>
  <si>
    <t>Polgármesteri illetményés költségtérítés támogatása</t>
  </si>
  <si>
    <t>Polgármesteri illetmény és költségtérítés támogatása</t>
  </si>
  <si>
    <t>Eredeti  előirányzat</t>
  </si>
  <si>
    <t>1. melléklet a ../2022.(..) önkormányzati rendelethez</t>
  </si>
  <si>
    <t>2. melléklet a ../2022 .(..) önkormányzati rendelethez</t>
  </si>
  <si>
    <t>3. melléklet a ../2022. (..) önkormányzati rendelethez</t>
  </si>
  <si>
    <t>4. melléklet a ../2022.(..) önkormányzati rendelethez</t>
  </si>
  <si>
    <t>5. melléklet a ../2022.(..)önkormányzati rendelethez</t>
  </si>
  <si>
    <t>6. melléklet  a ../2022.(..) önkormányzati rendelethez</t>
  </si>
  <si>
    <t>7.melléklet a .../2022.(...)önkormányzati rendelethez</t>
  </si>
  <si>
    <t>Állami támogatás (köznevelés, gyermekétkeztetés)</t>
  </si>
  <si>
    <t>K1106</t>
  </si>
  <si>
    <t>Jubileumi jutalom</t>
  </si>
  <si>
    <t>K110</t>
  </si>
  <si>
    <t>B25</t>
  </si>
  <si>
    <t>Fejezet kezelésű előirányzattól (Belterületi utak felújítása)</t>
  </si>
  <si>
    <t>Ingatlanok felújítása (óvoda fűtés korszerűsítés, belterületi utak)</t>
  </si>
  <si>
    <t>Belterületi utak</t>
  </si>
  <si>
    <t>Petőfi szobor alapzat</t>
  </si>
  <si>
    <t>Kiegészítő bértámogatás</t>
  </si>
  <si>
    <t>8. melléklet a ../2022.(..) önkormányzati rendelethez</t>
  </si>
  <si>
    <t>Teljesítés 2020.év</t>
  </si>
  <si>
    <t>Terv          2022. év</t>
  </si>
  <si>
    <t>Teljesítés     2021.év</t>
  </si>
  <si>
    <t>Teljesítés   2021.év</t>
  </si>
  <si>
    <t>Terv       2022.év</t>
  </si>
  <si>
    <t>9. melléklet a ../2022.(..) önkormányzati rendelethez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</si>
  <si>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</si>
  <si>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</si>
  <si>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</si>
  <si>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</si>
  <si>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</si>
  <si>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</si>
  <si>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</si>
  <si>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</si>
  <si>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</si>
  <si>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</si>
  <si>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</si>
  <si>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</si>
  <si>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</si>
  <si>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</si>
  <si>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</si>
  <si>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</si>
  <si>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</si>
  <si>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</si>
  <si>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</si>
  <si>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</si>
  <si>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</si>
  <si>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</si>
  <si>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</si>
  <si>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</si>
  <si>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</si>
  <si>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</si>
  <si>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</si>
  <si>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</si>
  <si>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</si>
  <si>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</si>
  <si>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</si>
  <si>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</si>
  <si>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</si>
  <si>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</si>
  <si>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</si>
  <si>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</si>
  <si>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</si>
  <si>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</si>
  <si>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</si>
  <si>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</si>
  <si>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</si>
  <si>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</si>
  <si>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</si>
  <si>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</si>
  <si>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</si>
  <si>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</si>
  <si>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</si>
  <si>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</si>
  <si>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</si>
  <si>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</si>
  <si>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</si>
  <si>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</si>
  <si>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</si>
  <si>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</si>
  <si>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</si>
  <si>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</si>
  <si>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</si>
  <si>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</si>
  <si>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</si>
  <si>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</si>
  <si>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</si>
  <si>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</si>
  <si>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</si>
  <si>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</si>
  <si>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</si>
  <si>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</si>
  <si>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</si>
  <si>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</si>
  <si>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</si>
  <si>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</si>
  <si>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</si>
  <si>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</si>
  <si>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</si>
  <si>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</si>
  <si>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</si>
  <si>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</si>
  <si>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</si>
  <si>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</si>
  <si>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</si>
  <si>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</si>
  <si>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</si>
  <si>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</si>
  <si>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</si>
  <si>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</si>
  <si>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</si>
  <si>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</si>
  <si>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</si>
  <si>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</si>
  <si>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</si>
  <si>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</si>
  <si>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</si>
  <si>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</si>
  <si>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</si>
  <si>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</si>
  <si>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</si>
  <si>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</si>
  <si>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</si>
  <si>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</si>
  <si>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</si>
  <si>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</si>
  <si>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</si>
  <si>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</si>
  <si>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</si>
  <si>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</si>
  <si>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</si>
  <si>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</si>
  <si>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</si>
  <si>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</si>
  <si>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</si>
  <si>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</si>
  <si>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</si>
  <si>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</si>
  <si>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</si>
  <si>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</si>
  <si>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</si>
  <si>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</si>
  <si>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</si>
  <si>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</si>
  <si>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</si>
  <si>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</si>
  <si>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</si>
  <si>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</si>
  <si>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</si>
  <si>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</si>
  <si>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</si>
  <si>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</si>
  <si>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</si>
  <si>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</si>
  <si>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</si>
  <si>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</si>
  <si>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</si>
  <si>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</si>
  <si>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</si>
  <si>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</si>
  <si>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</si>
  <si>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</si>
  <si>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</si>
  <si>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</si>
  <si>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</si>
  <si>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</si>
  <si>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</si>
  <si>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</si>
  <si>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</si>
  <si>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</si>
  <si>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</si>
  <si>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</si>
  <si>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</si>
  <si>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</si>
  <si>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</si>
  <si>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</si>
  <si>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</si>
  <si>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</si>
  <si>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</si>
  <si>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</si>
  <si>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</si>
  <si>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</si>
  <si>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</si>
  <si>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</si>
  <si>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</si>
  <si>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</si>
  <si>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</si>
  <si>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</si>
  <si>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</si>
  <si>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</si>
  <si>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</si>
  <si>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</si>
  <si>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</si>
  <si>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</si>
  <si>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</si>
  <si>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</si>
  <si>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</si>
  <si>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</si>
  <si>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</si>
  <si>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</si>
  <si>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</si>
  <si>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</si>
  <si>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</si>
  <si>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</si>
  <si>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</si>
  <si>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</si>
  <si>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</si>
  <si>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</si>
  <si>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</si>
  <si>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</si>
  <si>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</si>
  <si>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</si>
  <si>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</si>
  <si>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</si>
  <si>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</si>
  <si>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</si>
  <si>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</si>
  <si>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</si>
  <si>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</si>
  <si>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</si>
  <si>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</si>
  <si>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</si>
  <si>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</si>
  <si>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</si>
  <si>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</si>
  <si>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</si>
  <si>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</si>
  <si>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</si>
  <si>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</si>
  <si>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</si>
  <si>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</si>
  <si>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</si>
  <si>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</si>
  <si>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</si>
  <si>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</si>
  <si>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</si>
  <si>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</si>
  <si>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</si>
  <si>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</si>
  <si>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</si>
  <si>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</si>
  <si>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</si>
  <si>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</si>
  <si>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</si>
  <si>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</si>
  <si>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</si>
  <si>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</si>
  <si>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</si>
  <si>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</si>
  <si>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</si>
  <si>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</si>
  <si>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</si>
  <si>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</si>
  <si>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</si>
  <si>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</si>
  <si>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</si>
  <si>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</si>
  <si>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</si>
  <si>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</si>
  <si>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</si>
  <si>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</si>
  <si>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</si>
  <si>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</si>
  <si>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</si>
  <si>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</si>
  <si>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</si>
  <si>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</si>
  <si>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</si>
  <si>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</si>
  <si>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</si>
  <si>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</si>
  <si>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</si>
  <si>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</si>
  <si>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</si>
  <si>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</si>
  <si>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</si>
  <si>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</si>
  <si>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</si>
  <si>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</si>
  <si>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</si>
  <si>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</si>
  <si>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</si>
  <si>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</si>
  <si>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</si>
  <si>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</si>
  <si>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</si>
  <si>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</si>
  <si>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</si>
  <si>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</si>
  <si>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</si>
  <si>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</si>
  <si>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</si>
  <si>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</si>
  <si>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</si>
  <si>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</si>
  <si>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</si>
  <si>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</si>
  <si>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</si>
  <si>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</si>
  <si>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</si>
  <si>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</si>
  <si>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</si>
  <si>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</si>
  <si>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</si>
  <si>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</si>
  <si>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</si>
  <si>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</si>
  <si>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</si>
  <si>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</si>
  <si>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</si>
  <si>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</si>
  <si>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</si>
  <si>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</si>
  <si>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</si>
  <si>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</si>
  <si>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</si>
  <si>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</si>
  <si>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</si>
  <si>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</si>
  <si>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</si>
  <si>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</si>
  <si>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</si>
  <si>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</si>
  <si>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</si>
  <si>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</si>
  <si>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</si>
  <si>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</si>
  <si>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</si>
  <si>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</si>
  <si>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</si>
  <si>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</si>
  <si>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</si>
  <si>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</si>
  <si>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</si>
  <si>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</si>
  <si>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</si>
  <si>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</si>
  <si>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</si>
  <si>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</si>
  <si>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</si>
  <si>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</si>
  <si>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</si>
  <si>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</si>
  <si>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</si>
  <si>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</si>
  <si>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</si>
  <si>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</si>
  <si>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</si>
  <si>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</si>
  <si>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</si>
  <si>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</si>
  <si>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</si>
  <si>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</si>
  <si>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</si>
  <si>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</si>
  <si>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</si>
  <si>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</si>
  <si>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</si>
  <si>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</si>
  <si>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</si>
  <si>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</si>
  <si>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</si>
  <si>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</si>
  <si>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</si>
  <si>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</si>
  <si>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</si>
  <si>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</si>
  <si>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</si>
  <si>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</si>
  <si>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</si>
  <si>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</si>
  <si>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</si>
  <si>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</si>
  <si>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</si>
  <si>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</si>
  <si>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</si>
  <si>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</si>
  <si>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</si>
  <si>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</si>
  <si>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</si>
  <si>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</si>
  <si>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</si>
  <si>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</si>
  <si>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</si>
  <si>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</si>
  <si>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</si>
  <si>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</si>
  <si>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</si>
  <si>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</si>
  <si>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</si>
  <si>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</si>
  <si>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</si>
  <si>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</si>
  <si>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</si>
  <si>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</si>
  <si>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</si>
  <si>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</si>
  <si>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</si>
  <si>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</si>
  <si>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</si>
  <si>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</si>
  <si>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</si>
  <si>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</si>
  <si>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</si>
  <si>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</si>
  <si>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</si>
  <si>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</si>
  <si>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</si>
  <si>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</si>
  <si>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</si>
  <si>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</si>
  <si>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</si>
  <si>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</si>
  <si>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</si>
  <si>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</si>
  <si>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</si>
  <si>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</si>
  <si>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</si>
  <si>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</si>
  <si>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</si>
  <si>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</si>
  <si>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</si>
  <si>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</si>
  <si>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</si>
  <si>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</si>
  <si>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</si>
  <si>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</si>
  <si>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</si>
  <si>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</si>
  <si>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</si>
  <si>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</si>
  <si>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</si>
  <si>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</si>
  <si>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</si>
  <si>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</si>
  <si>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</si>
  <si>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</si>
  <si>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</si>
  <si>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</si>
  <si>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</si>
  <si>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</si>
  <si>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</si>
  <si>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</si>
  <si>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</si>
  <si>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</si>
  <si>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</si>
  <si>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</si>
  <si>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</si>
  <si>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</si>
  <si>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</si>
  <si>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</si>
  <si>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</si>
  <si>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</si>
  <si>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</si>
  <si>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Módosított előirányzat</t>
  </si>
  <si>
    <t xml:space="preserve">2022. évi költségvetés módostott kiadásai </t>
  </si>
  <si>
    <t>Módosított  előirányzat</t>
  </si>
  <si>
    <t xml:space="preserve">2022. évi költségvetés módosított összevont mérlege </t>
  </si>
  <si>
    <t>2022. évi költségvetés  módosított bevételei</t>
  </si>
  <si>
    <t>2022. évi költségvetés módosított bevételei</t>
  </si>
  <si>
    <t>F</t>
  </si>
  <si>
    <t>2022. évi költségvetés módosított kiadásai</t>
  </si>
  <si>
    <t xml:space="preserve">2022.évi költségvetés módosított felhalmozási kiadásai </t>
  </si>
  <si>
    <t>Tájékoztató adatok a módosított MŰKÖDÉSI bevételek és kiadások alakulásáról</t>
  </si>
  <si>
    <t>Tájékoztató adatok módosított FELHALMOZÁSI bevételek és kiadások alakulásáról</t>
  </si>
  <si>
    <t>K62</t>
  </si>
  <si>
    <t>Egyéb építmény (1848-as emlékmű)</t>
  </si>
  <si>
    <t xml:space="preserve">Egyéb építmény </t>
  </si>
  <si>
    <t>Egyéb tárgyi eszközök beszerzés (Kisfaludy pályázat, ponyva)</t>
  </si>
  <si>
    <t>K353</t>
  </si>
  <si>
    <t>Kamatkiadások</t>
  </si>
  <si>
    <t>B65</t>
  </si>
  <si>
    <t>Egyéb vállalkozástól működési célú átvett pénzeszközök bevétele</t>
  </si>
  <si>
    <t>Felhalmozási támogatások bevételei</t>
  </si>
  <si>
    <t>Követelések ingatlan értékesítésből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</si>
  <si>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</si>
  <si>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</si>
  <si>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</si>
  <si>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</si>
  <si>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</si>
  <si>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</si>
  <si>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</si>
  <si>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</si>
  <si>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</si>
  <si>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Egyéb felhalmozású átvett pénzeszköz (Kisfaludy pályázat)</t>
  </si>
  <si>
    <t>Lakossági víz és csatorna pályázat</t>
  </si>
  <si>
    <t>Lakossági víz és csatorna pályázat átadása Drv-nek</t>
  </si>
  <si>
    <t>B64</t>
  </si>
  <si>
    <t>Egyéb tárgyi eszközök beszerzése (vadkamera, fűnyíró)</t>
  </si>
  <si>
    <t>1. melléklet a 1/2022.(II.21.) önkormányzati rendelethez</t>
  </si>
  <si>
    <t>2. melléklet a 1/2022 .(II.21.) önkormányzati rendelethez</t>
  </si>
  <si>
    <t>3. melléklet a 1/2022. (II.21.) önkormányzati rendelethez</t>
  </si>
  <si>
    <t>4. melléklet a 1/2022.(II.21.) önkormányzati rendelethez</t>
  </si>
  <si>
    <t>5. melléklet a 1/2022.(II.21.)önkormányzati rendelethez</t>
  </si>
  <si>
    <t>433.</t>
  </si>
  <si>
    <t>6. melléklet  a 1/2022.(II.21.) önkormányzati rendelethez</t>
  </si>
  <si>
    <t>Egyéb tárgyi eszközök beszerzése község (fűnyíró, vadkamera)</t>
  </si>
  <si>
    <t>Egyéb tárgyi eszközök beszerzése strand</t>
  </si>
  <si>
    <t>1848-as emlékmű</t>
  </si>
  <si>
    <t>Egyéb építmény strand</t>
  </si>
  <si>
    <t>Lakás felújítás</t>
  </si>
  <si>
    <t>Ingatlanok felújítása (lakás)</t>
  </si>
  <si>
    <t>7.melléklet a 1/2022.(II.21.)önkormányzati rendelethez</t>
  </si>
  <si>
    <t>8. melléklet a 1/2022.(II.21.) önkormányzati rendelethez</t>
  </si>
  <si>
    <t>9. melléklet a 1/2022.(II.21.)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</si>
</sst>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54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0" fontId="1" fillId="35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3" fontId="1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 horizontal="left"/>
    </xf>
    <xf numFmtId="3" fontId="4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33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3" fillId="33" borderId="14" xfId="0" applyNumberFormat="1" applyFont="1" applyFill="1" applyBorder="1" applyAlignment="1">
      <alignment vertical="center"/>
    </xf>
    <xf numFmtId="3" fontId="3" fillId="36" borderId="14" xfId="0" applyNumberFormat="1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3" fontId="4" fillId="38" borderId="10" xfId="0" applyNumberFormat="1" applyFont="1" applyFill="1" applyBorder="1" applyAlignment="1">
      <alignment vertical="center"/>
    </xf>
    <xf numFmtId="3" fontId="3" fillId="37" borderId="14" xfId="0" applyNumberFormat="1" applyFont="1" applyFill="1" applyBorder="1" applyAlignment="1">
      <alignment vertical="center"/>
    </xf>
    <xf numFmtId="3" fontId="3" fillId="38" borderId="14" xfId="0" applyNumberFormat="1" applyFont="1" applyFill="1" applyBorder="1" applyAlignment="1">
      <alignment vertical="center"/>
    </xf>
    <xf numFmtId="3" fontId="4" fillId="38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39" borderId="10" xfId="0" applyFont="1" applyFill="1" applyBorder="1" applyAlignment="1">
      <alignment/>
    </xf>
    <xf numFmtId="3" fontId="1" fillId="39" borderId="14" xfId="0" applyNumberFormat="1" applyFont="1" applyFill="1" applyBorder="1" applyAlignment="1">
      <alignment/>
    </xf>
    <xf numFmtId="3" fontId="1" fillId="0" borderId="10" xfId="54" applyNumberFormat="1" applyFont="1" applyBorder="1">
      <alignment/>
      <protection/>
    </xf>
    <xf numFmtId="166" fontId="2" fillId="0" borderId="10" xfId="0" applyNumberFormat="1" applyFont="1" applyBorder="1" applyAlignment="1">
      <alignment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5" xfId="0" applyFont="1" applyBorder="1" applyAlignment="1">
      <alignment/>
    </xf>
    <xf numFmtId="3" fontId="1" fillId="0" borderId="14" xfId="0" applyNumberFormat="1" applyFont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  <xf numFmtId="0" fontId="2" fillId="39" borderId="15" xfId="0" applyFont="1" applyFill="1" applyBorder="1" applyAlignment="1">
      <alignment/>
    </xf>
    <xf numFmtId="3" fontId="2" fillId="39" borderId="18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3" fillId="36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wrapText="1"/>
      <protection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60" zoomScalePageLayoutView="0" workbookViewId="0" topLeftCell="A1">
      <selection activeCell="E34" sqref="E34"/>
    </sheetView>
  </sheetViews>
  <sheetFormatPr defaultColWidth="9.140625" defaultRowHeight="12.75"/>
  <cols>
    <col min="1" max="1" width="8.00390625" style="91" customWidth="1"/>
    <col min="2" max="2" width="7.28125" style="1" customWidth="1"/>
    <col min="3" max="3" width="58.7109375" style="1" customWidth="1"/>
    <col min="4" max="4" width="17.28125" style="1" customWidth="1"/>
    <col min="5" max="5" width="13.28125" style="1" customWidth="1"/>
    <col min="6" max="16384" width="9.140625" style="1" customWidth="1"/>
  </cols>
  <sheetData>
    <row r="1" spans="1:5" ht="15.75" customHeight="1">
      <c r="A1" s="195" t="s">
        <v>356</v>
      </c>
      <c r="B1" s="195"/>
      <c r="C1" s="195"/>
      <c r="D1" s="195"/>
      <c r="E1" s="195"/>
    </row>
    <row r="2" spans="1:5" ht="15.75" customHeight="1">
      <c r="A2" s="195" t="s">
        <v>843</v>
      </c>
      <c r="B2" s="195"/>
      <c r="C2" s="195"/>
      <c r="D2" s="195"/>
      <c r="E2" s="195"/>
    </row>
    <row r="3" spans="1:5" ht="15.75" customHeight="1">
      <c r="A3" s="83"/>
      <c r="B3" s="83"/>
      <c r="C3" s="83"/>
      <c r="D3" s="83"/>
      <c r="E3" s="83"/>
    </row>
    <row r="4" spans="1:5" ht="15.75" customHeight="1">
      <c r="A4" s="198" t="s">
        <v>0</v>
      </c>
      <c r="B4" s="198"/>
      <c r="C4" s="198"/>
      <c r="D4" s="198"/>
      <c r="E4" s="198"/>
    </row>
    <row r="5" spans="1:5" ht="15.75" customHeight="1">
      <c r="A5" s="198" t="s">
        <v>811</v>
      </c>
      <c r="B5" s="198"/>
      <c r="C5" s="198"/>
      <c r="D5" s="198"/>
      <c r="E5" s="198"/>
    </row>
    <row r="6" spans="2:3" ht="15.75" customHeight="1" thickBot="1">
      <c r="B6" s="3"/>
      <c r="C6" s="3"/>
    </row>
    <row r="7" spans="1:5" ht="15.75" customHeight="1">
      <c r="A7" s="95" t="s">
        <v>380</v>
      </c>
      <c r="B7" s="191" t="s">
        <v>381</v>
      </c>
      <c r="C7" s="191"/>
      <c r="D7" s="107" t="s">
        <v>382</v>
      </c>
      <c r="E7" s="97" t="s">
        <v>383</v>
      </c>
    </row>
    <row r="8" spans="1:5" ht="15.75" customHeight="1">
      <c r="A8" s="197" t="s">
        <v>385</v>
      </c>
      <c r="B8" s="200" t="s">
        <v>1</v>
      </c>
      <c r="C8" s="200"/>
      <c r="D8" s="190" t="s">
        <v>355</v>
      </c>
      <c r="E8" s="196" t="s">
        <v>810</v>
      </c>
    </row>
    <row r="9" spans="1:5" ht="15.75" customHeight="1">
      <c r="A9" s="197"/>
      <c r="B9" s="200"/>
      <c r="C9" s="200"/>
      <c r="D9" s="190"/>
      <c r="E9" s="196"/>
    </row>
    <row r="10" spans="1:5" ht="15.75" customHeight="1">
      <c r="A10" s="108" t="s">
        <v>386</v>
      </c>
      <c r="B10" s="199" t="s">
        <v>3</v>
      </c>
      <c r="C10" s="199"/>
      <c r="D10" s="104">
        <f>SUM(D11:D14)</f>
        <v>344310649</v>
      </c>
      <c r="E10" s="109">
        <f>SUM(E11:E14)</f>
        <v>376533108</v>
      </c>
    </row>
    <row r="11" spans="1:5" ht="15.75" customHeight="1">
      <c r="A11" s="108" t="s">
        <v>387</v>
      </c>
      <c r="B11" s="73" t="s">
        <v>4</v>
      </c>
      <c r="C11" s="74" t="s">
        <v>5</v>
      </c>
      <c r="D11" s="57">
        <f>'2. Bevétel funkció'!G120</f>
        <v>92784649</v>
      </c>
      <c r="E11" s="110">
        <f>'2. Bevétel funkció'!H120</f>
        <v>100268349</v>
      </c>
    </row>
    <row r="12" spans="1:5" ht="15.75" customHeight="1">
      <c r="A12" s="108" t="s">
        <v>388</v>
      </c>
      <c r="B12" s="73" t="s">
        <v>6</v>
      </c>
      <c r="C12" s="74" t="s">
        <v>7</v>
      </c>
      <c r="D12" s="57">
        <f>'2. Bevétel funkció'!G122</f>
        <v>112265000</v>
      </c>
      <c r="E12" s="110">
        <f>'2. Bevétel funkció'!H122</f>
        <v>112265000</v>
      </c>
    </row>
    <row r="13" spans="1:5" ht="15.75" customHeight="1">
      <c r="A13" s="108" t="s">
        <v>389</v>
      </c>
      <c r="B13" s="73" t="s">
        <v>8</v>
      </c>
      <c r="C13" s="74" t="s">
        <v>9</v>
      </c>
      <c r="D13" s="57">
        <f>'2. Bevétel funkció'!G123</f>
        <v>139061000</v>
      </c>
      <c r="E13" s="110">
        <f>'2. Bevétel funkció'!H123</f>
        <v>163134959</v>
      </c>
    </row>
    <row r="14" spans="1:5" ht="15.75" customHeight="1">
      <c r="A14" s="108" t="s">
        <v>390</v>
      </c>
      <c r="B14" s="73" t="s">
        <v>10</v>
      </c>
      <c r="C14" s="74" t="s">
        <v>11</v>
      </c>
      <c r="D14" s="57">
        <f>'2. Bevétel funkció'!G125</f>
        <v>200000</v>
      </c>
      <c r="E14" s="110">
        <f>'2. Bevétel funkció'!H125</f>
        <v>864800</v>
      </c>
    </row>
    <row r="15" spans="1:5" ht="15.75" customHeight="1">
      <c r="A15" s="108" t="s">
        <v>391</v>
      </c>
      <c r="B15" s="73"/>
      <c r="C15" s="74"/>
      <c r="D15" s="57"/>
      <c r="E15" s="110"/>
    </row>
    <row r="16" spans="1:5" ht="15.75" customHeight="1">
      <c r="A16" s="108" t="s">
        <v>392</v>
      </c>
      <c r="B16" s="192" t="s">
        <v>12</v>
      </c>
      <c r="C16" s="192"/>
      <c r="D16" s="58">
        <f>SUM(D17:D19)</f>
        <v>40600000</v>
      </c>
      <c r="E16" s="111">
        <f>SUM(E17:E19)</f>
        <v>130511800</v>
      </c>
    </row>
    <row r="17" spans="1:5" ht="15.75" customHeight="1">
      <c r="A17" s="108" t="s">
        <v>393</v>
      </c>
      <c r="B17" s="73" t="s">
        <v>13</v>
      </c>
      <c r="C17" s="73" t="s">
        <v>14</v>
      </c>
      <c r="D17" s="57">
        <f>'2. Bevétel funkció'!G121</f>
        <v>40000000</v>
      </c>
      <c r="E17" s="110">
        <f>'2. Bevétel funkció'!H121</f>
        <v>15000000</v>
      </c>
    </row>
    <row r="18" spans="1:5" ht="15.75" customHeight="1">
      <c r="A18" s="108" t="s">
        <v>394</v>
      </c>
      <c r="B18" s="73" t="s">
        <v>15</v>
      </c>
      <c r="C18" s="74" t="s">
        <v>16</v>
      </c>
      <c r="D18" s="105">
        <f>'2. Bevétel funkció'!G124</f>
        <v>600000</v>
      </c>
      <c r="E18" s="112">
        <f>'2. Bevétel funkció'!H124</f>
        <v>25600000</v>
      </c>
    </row>
    <row r="19" spans="1:5" ht="15.75" customHeight="1">
      <c r="A19" s="108" t="s">
        <v>395</v>
      </c>
      <c r="B19" s="73" t="s">
        <v>17</v>
      </c>
      <c r="C19" s="74" t="s">
        <v>18</v>
      </c>
      <c r="D19" s="105">
        <f>'2. Bevétel funkció'!G126</f>
        <v>0</v>
      </c>
      <c r="E19" s="112">
        <f>'2. Bevétel funkció'!H126</f>
        <v>89911800</v>
      </c>
    </row>
    <row r="20" spans="1:5" ht="15.75" customHeight="1">
      <c r="A20" s="108" t="s">
        <v>396</v>
      </c>
      <c r="B20" s="71"/>
      <c r="C20" s="74"/>
      <c r="D20" s="105"/>
      <c r="E20" s="112"/>
    </row>
    <row r="21" spans="1:5" ht="15.75" customHeight="1">
      <c r="A21" s="108" t="s">
        <v>397</v>
      </c>
      <c r="B21" s="192" t="s">
        <v>19</v>
      </c>
      <c r="C21" s="192"/>
      <c r="D21" s="58">
        <f>SUM(D22)</f>
        <v>99270852</v>
      </c>
      <c r="E21" s="111">
        <f>SUM(E22)</f>
        <v>100786153</v>
      </c>
    </row>
    <row r="22" spans="1:5" ht="15.75" customHeight="1">
      <c r="A22" s="108" t="s">
        <v>398</v>
      </c>
      <c r="B22" s="73" t="s">
        <v>20</v>
      </c>
      <c r="C22" s="74" t="s">
        <v>19</v>
      </c>
      <c r="D22" s="105">
        <f>'2. Bevétel funkció'!G127</f>
        <v>99270852</v>
      </c>
      <c r="E22" s="112">
        <f>'2. Bevétel funkció'!H127</f>
        <v>100786153</v>
      </c>
    </row>
    <row r="23" spans="1:5" ht="15.75" customHeight="1">
      <c r="A23" s="108" t="s">
        <v>399</v>
      </c>
      <c r="B23" s="73"/>
      <c r="C23" s="74"/>
      <c r="D23" s="105"/>
      <c r="E23" s="112"/>
    </row>
    <row r="24" spans="1:5" ht="15.75" customHeight="1" thickBot="1">
      <c r="A24" s="113" t="s">
        <v>400</v>
      </c>
      <c r="B24" s="193" t="s">
        <v>21</v>
      </c>
      <c r="C24" s="193"/>
      <c r="D24" s="114">
        <f>SUM(D10+D16+D21)</f>
        <v>484181501</v>
      </c>
      <c r="E24" s="115">
        <f>SUM(E10+E16+E21)</f>
        <v>607831061</v>
      </c>
    </row>
    <row r="25" spans="1:5" ht="15.75" customHeight="1">
      <c r="A25" s="91" t="s">
        <v>401</v>
      </c>
      <c r="B25" s="4"/>
      <c r="C25" s="4"/>
      <c r="D25" s="5"/>
      <c r="E25" s="5"/>
    </row>
    <row r="26" spans="1:5" ht="15.75" customHeight="1" thickBot="1">
      <c r="A26" s="91" t="s">
        <v>402</v>
      </c>
      <c r="B26" s="6"/>
      <c r="C26" s="6"/>
      <c r="D26" s="7"/>
      <c r="E26" s="7"/>
    </row>
    <row r="27" spans="1:5" ht="15.75" customHeight="1">
      <c r="A27" s="95" t="s">
        <v>403</v>
      </c>
      <c r="B27" s="194" t="s">
        <v>22</v>
      </c>
      <c r="C27" s="194"/>
      <c r="D27" s="117">
        <f>SUM(D28:D32)</f>
        <v>460011491.13</v>
      </c>
      <c r="E27" s="118">
        <f>SUM(E28:E32)</f>
        <v>467301364.13</v>
      </c>
    </row>
    <row r="28" spans="1:5" ht="15.75" customHeight="1">
      <c r="A28" s="108" t="s">
        <v>404</v>
      </c>
      <c r="B28" s="73" t="s">
        <v>23</v>
      </c>
      <c r="C28" s="116" t="s">
        <v>24</v>
      </c>
      <c r="D28" s="57">
        <f>'5.kiadás'!H433</f>
        <v>124545001</v>
      </c>
      <c r="E28" s="110">
        <f>'5.kiadás'!I433</f>
        <v>124566875</v>
      </c>
    </row>
    <row r="29" spans="1:5" ht="15.75" customHeight="1">
      <c r="A29" s="108" t="s">
        <v>405</v>
      </c>
      <c r="B29" s="73" t="s">
        <v>25</v>
      </c>
      <c r="C29" s="73" t="s">
        <v>26</v>
      </c>
      <c r="D29" s="57">
        <f>'5.kiadás'!H434</f>
        <v>16509465.13</v>
      </c>
      <c r="E29" s="110">
        <f>'5.kiadás'!I434</f>
        <v>16509465.13</v>
      </c>
    </row>
    <row r="30" spans="1:5" ht="15.75" customHeight="1">
      <c r="A30" s="108" t="s">
        <v>406</v>
      </c>
      <c r="B30" s="73" t="s">
        <v>27</v>
      </c>
      <c r="C30" s="74" t="s">
        <v>28</v>
      </c>
      <c r="D30" s="57">
        <f>'5.kiadás'!H435</f>
        <v>196682814</v>
      </c>
      <c r="E30" s="110">
        <f>'5.kiadás'!I435</f>
        <v>198188088</v>
      </c>
    </row>
    <row r="31" spans="1:5" ht="15.75" customHeight="1">
      <c r="A31" s="108" t="s">
        <v>407</v>
      </c>
      <c r="B31" s="73" t="s">
        <v>29</v>
      </c>
      <c r="C31" s="116" t="s">
        <v>30</v>
      </c>
      <c r="D31" s="57">
        <f>'5.kiadás'!H436</f>
        <v>5726000</v>
      </c>
      <c r="E31" s="110">
        <f>'5.kiadás'!I436</f>
        <v>5726000</v>
      </c>
    </row>
    <row r="32" spans="1:5" ht="15.75" customHeight="1">
      <c r="A32" s="108" t="s">
        <v>408</v>
      </c>
      <c r="B32" s="73" t="s">
        <v>31</v>
      </c>
      <c r="C32" s="116" t="s">
        <v>32</v>
      </c>
      <c r="D32" s="57">
        <f>'5.kiadás'!H437</f>
        <v>116548211</v>
      </c>
      <c r="E32" s="110">
        <f>'5.kiadás'!I437</f>
        <v>122310936</v>
      </c>
    </row>
    <row r="33" spans="1:5" ht="15.75" customHeight="1">
      <c r="A33" s="108" t="s">
        <v>409</v>
      </c>
      <c r="B33" s="73"/>
      <c r="C33" s="116" t="s">
        <v>335</v>
      </c>
      <c r="D33" s="57">
        <v>20000000</v>
      </c>
      <c r="E33" s="110">
        <v>17122825</v>
      </c>
    </row>
    <row r="34" spans="1:5" ht="15.75" customHeight="1">
      <c r="A34" s="108" t="s">
        <v>410</v>
      </c>
      <c r="B34" s="192" t="s">
        <v>33</v>
      </c>
      <c r="C34" s="192"/>
      <c r="D34" s="58">
        <f>SUM(D35:D37)</f>
        <v>21164140</v>
      </c>
      <c r="E34" s="111">
        <f>SUM(E35:E37)</f>
        <v>136008526</v>
      </c>
    </row>
    <row r="35" spans="1:5" ht="15.75" customHeight="1">
      <c r="A35" s="108" t="s">
        <v>411</v>
      </c>
      <c r="B35" s="74" t="s">
        <v>34</v>
      </c>
      <c r="C35" s="116" t="s">
        <v>35</v>
      </c>
      <c r="D35" s="105">
        <f>'5.kiadás'!H438</f>
        <v>0</v>
      </c>
      <c r="E35" s="112">
        <f>'5.kiadás'!I438</f>
        <v>114709386</v>
      </c>
    </row>
    <row r="36" spans="1:5" ht="15.75" customHeight="1">
      <c r="A36" s="108" t="s">
        <v>412</v>
      </c>
      <c r="B36" s="74" t="s">
        <v>36</v>
      </c>
      <c r="C36" s="116" t="s">
        <v>37</v>
      </c>
      <c r="D36" s="105">
        <f>'5.kiadás'!H439</f>
        <v>21164140</v>
      </c>
      <c r="E36" s="112">
        <f>'5.kiadás'!I439</f>
        <v>21299140</v>
      </c>
    </row>
    <row r="37" spans="1:5" ht="15.75" customHeight="1">
      <c r="A37" s="108" t="s">
        <v>413</v>
      </c>
      <c r="B37" s="73" t="s">
        <v>38</v>
      </c>
      <c r="C37" s="73" t="s">
        <v>39</v>
      </c>
      <c r="D37" s="105">
        <f>'5.kiadás'!H440</f>
        <v>0</v>
      </c>
      <c r="E37" s="112">
        <f>'5.kiadás'!I440</f>
        <v>0</v>
      </c>
    </row>
    <row r="38" spans="1:5" ht="15.75" customHeight="1">
      <c r="A38" s="108" t="s">
        <v>414</v>
      </c>
      <c r="B38" s="73"/>
      <c r="C38" s="73"/>
      <c r="D38" s="105"/>
      <c r="E38" s="112"/>
    </row>
    <row r="39" spans="1:5" ht="15.75" customHeight="1">
      <c r="A39" s="108" t="s">
        <v>415</v>
      </c>
      <c r="B39" s="192" t="s">
        <v>40</v>
      </c>
      <c r="C39" s="192"/>
      <c r="D39" s="58">
        <f>SUM(D40)</f>
        <v>3005870</v>
      </c>
      <c r="E39" s="111">
        <f>SUM(E40)</f>
        <v>4521171</v>
      </c>
    </row>
    <row r="40" spans="1:5" ht="15.75" customHeight="1">
      <c r="A40" s="108" t="s">
        <v>416</v>
      </c>
      <c r="B40" s="73" t="s">
        <v>41</v>
      </c>
      <c r="C40" s="73" t="s">
        <v>40</v>
      </c>
      <c r="D40" s="105">
        <f>'5.kiadás'!H441</f>
        <v>3005870</v>
      </c>
      <c r="E40" s="112">
        <f>'5.kiadás'!I441</f>
        <v>4521171</v>
      </c>
    </row>
    <row r="41" spans="1:5" ht="15.75" customHeight="1">
      <c r="A41" s="108" t="s">
        <v>417</v>
      </c>
      <c r="B41" s="73"/>
      <c r="C41" s="73"/>
      <c r="D41" s="105"/>
      <c r="E41" s="112"/>
    </row>
    <row r="42" spans="1:5" ht="15.75" customHeight="1" thickBot="1">
      <c r="A42" s="113" t="s">
        <v>418</v>
      </c>
      <c r="B42" s="193" t="s">
        <v>42</v>
      </c>
      <c r="C42" s="193"/>
      <c r="D42" s="114">
        <f>SUM(D34,D27,D39)</f>
        <v>484181501.13</v>
      </c>
      <c r="E42" s="115">
        <f>SUM(E34,E27,E39)</f>
        <v>607831061.13</v>
      </c>
    </row>
  </sheetData>
  <sheetProtection selectLockedCells="1" selectUnlockedCells="1"/>
  <mergeCells count="17">
    <mergeCell ref="B42:C42"/>
    <mergeCell ref="B27:C27"/>
    <mergeCell ref="A1:E1"/>
    <mergeCell ref="A2:E2"/>
    <mergeCell ref="E8:E9"/>
    <mergeCell ref="A8:A9"/>
    <mergeCell ref="A4:E4"/>
    <mergeCell ref="A5:E5"/>
    <mergeCell ref="B10:C10"/>
    <mergeCell ref="B8:C9"/>
    <mergeCell ref="D8:D9"/>
    <mergeCell ref="B7:C7"/>
    <mergeCell ref="B39:C39"/>
    <mergeCell ref="B16:C16"/>
    <mergeCell ref="B21:C21"/>
    <mergeCell ref="B24:C24"/>
    <mergeCell ref="B34:C34"/>
  </mergeCells>
  <printOptions headings="1"/>
  <pageMargins left="0.25" right="0.25" top="0.75" bottom="0.75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F71" sqref="F71"/>
    </sheetView>
  </sheetViews>
  <sheetFormatPr defaultColWidth="9.140625" defaultRowHeight="12.75"/>
  <cols>
    <col min="1" max="1" width="6.7109375" style="1" customWidth="1"/>
    <col min="2" max="2" width="4.7109375" style="0" customWidth="1"/>
    <col min="3" max="3" width="5.421875" style="0" customWidth="1"/>
    <col min="4" max="4" width="7.28125" style="0" customWidth="1"/>
    <col min="5" max="5" width="4.00390625" style="0" customWidth="1"/>
    <col min="6" max="6" width="57.57421875" style="0" customWidth="1"/>
    <col min="7" max="7" width="14.140625" style="0" customWidth="1"/>
    <col min="8" max="8" width="13.28125" style="0" customWidth="1"/>
  </cols>
  <sheetData>
    <row r="1" spans="1:8" ht="15.75">
      <c r="A1" s="212" t="s">
        <v>357</v>
      </c>
      <c r="B1" s="212"/>
      <c r="C1" s="212"/>
      <c r="D1" s="212"/>
      <c r="E1" s="212"/>
      <c r="F1" s="212"/>
      <c r="G1" s="212"/>
      <c r="H1" s="212"/>
    </row>
    <row r="2" spans="1:8" ht="15.75">
      <c r="A2" s="212" t="s">
        <v>844</v>
      </c>
      <c r="B2" s="212"/>
      <c r="C2" s="212"/>
      <c r="D2" s="212"/>
      <c r="E2" s="212"/>
      <c r="F2" s="212"/>
      <c r="G2" s="212"/>
      <c r="H2" s="212"/>
    </row>
    <row r="3" spans="2:6" ht="15.75">
      <c r="B3" s="8"/>
      <c r="C3" s="8"/>
      <c r="D3" s="8"/>
      <c r="E3" s="8"/>
      <c r="F3" s="2"/>
    </row>
    <row r="4" spans="1:8" ht="15" customHeight="1">
      <c r="A4" s="214" t="s">
        <v>0</v>
      </c>
      <c r="B4" s="214"/>
      <c r="C4" s="214"/>
      <c r="D4" s="214"/>
      <c r="E4" s="214"/>
      <c r="F4" s="214"/>
      <c r="G4" s="214"/>
      <c r="H4" s="214"/>
    </row>
    <row r="5" spans="1:8" ht="15" customHeight="1">
      <c r="A5" s="214" t="s">
        <v>812</v>
      </c>
      <c r="B5" s="214"/>
      <c r="C5" s="214"/>
      <c r="D5" s="214"/>
      <c r="E5" s="214"/>
      <c r="F5" s="214"/>
      <c r="G5" s="214"/>
      <c r="H5" s="214"/>
    </row>
    <row r="6" spans="1:8" ht="15" customHeight="1">
      <c r="A6" s="214" t="s">
        <v>43</v>
      </c>
      <c r="B6" s="214"/>
      <c r="C6" s="214"/>
      <c r="D6" s="214"/>
      <c r="E6" s="214"/>
      <c r="F6" s="214"/>
      <c r="G6" s="214"/>
      <c r="H6" s="214"/>
    </row>
    <row r="7" spans="2:6" ht="15" customHeight="1" thickBot="1">
      <c r="B7" s="9"/>
      <c r="C7" s="9"/>
      <c r="D7" s="9"/>
      <c r="E7" s="9"/>
      <c r="F7" s="9"/>
    </row>
    <row r="8" spans="1:8" ht="15.75">
      <c r="A8" s="126" t="s">
        <v>380</v>
      </c>
      <c r="B8" s="191" t="s">
        <v>381</v>
      </c>
      <c r="C8" s="191"/>
      <c r="D8" s="191"/>
      <c r="E8" s="191"/>
      <c r="F8" s="191"/>
      <c r="G8" s="106" t="s">
        <v>382</v>
      </c>
      <c r="H8" s="127" t="s">
        <v>383</v>
      </c>
    </row>
    <row r="9" spans="1:8" ht="15.75" customHeight="1">
      <c r="A9" s="197" t="s">
        <v>385</v>
      </c>
      <c r="B9" s="205" t="s">
        <v>44</v>
      </c>
      <c r="C9" s="205"/>
      <c r="D9" s="205"/>
      <c r="E9" s="205"/>
      <c r="F9" s="205"/>
      <c r="G9" s="215" t="s">
        <v>2</v>
      </c>
      <c r="H9" s="213" t="s">
        <v>808</v>
      </c>
    </row>
    <row r="10" spans="1:8" ht="12.75" customHeight="1">
      <c r="A10" s="197"/>
      <c r="B10" s="205"/>
      <c r="C10" s="205"/>
      <c r="D10" s="205"/>
      <c r="E10" s="205"/>
      <c r="F10" s="205"/>
      <c r="G10" s="215"/>
      <c r="H10" s="213"/>
    </row>
    <row r="11" spans="1:8" ht="15.75">
      <c r="A11" s="102" t="s">
        <v>386</v>
      </c>
      <c r="B11" s="192" t="s">
        <v>45</v>
      </c>
      <c r="C11" s="192"/>
      <c r="D11" s="192"/>
      <c r="E11" s="192"/>
      <c r="F11" s="192"/>
      <c r="G11" s="119">
        <f>G17+G19+G14+G12</f>
        <v>12001000</v>
      </c>
      <c r="H11" s="128">
        <f>H17+H19+H14+H12</f>
        <v>12665800</v>
      </c>
    </row>
    <row r="12" spans="1:8" ht="15.75">
      <c r="A12" s="102" t="s">
        <v>387</v>
      </c>
      <c r="B12" s="76" t="s">
        <v>6</v>
      </c>
      <c r="C12" s="204" t="s">
        <v>7</v>
      </c>
      <c r="D12" s="204"/>
      <c r="E12" s="204"/>
      <c r="F12" s="204"/>
      <c r="G12" s="120">
        <f>SUM(G13)</f>
        <v>11000000</v>
      </c>
      <c r="H12" s="129">
        <f>SUM(H13)</f>
        <v>11000000</v>
      </c>
    </row>
    <row r="13" spans="1:8" ht="15.75">
      <c r="A13" s="102" t="s">
        <v>388</v>
      </c>
      <c r="B13" s="76"/>
      <c r="C13" s="21" t="s">
        <v>72</v>
      </c>
      <c r="D13" s="203" t="s">
        <v>73</v>
      </c>
      <c r="E13" s="203"/>
      <c r="F13" s="203"/>
      <c r="G13" s="121">
        <v>11000000</v>
      </c>
      <c r="H13" s="130">
        <v>11000000</v>
      </c>
    </row>
    <row r="14" spans="1:8" ht="15.75">
      <c r="A14" s="102" t="s">
        <v>389</v>
      </c>
      <c r="B14" s="47" t="s">
        <v>8</v>
      </c>
      <c r="C14" s="47"/>
      <c r="D14" s="203" t="s">
        <v>9</v>
      </c>
      <c r="E14" s="203"/>
      <c r="F14" s="203"/>
      <c r="G14" s="122">
        <f>SUM(G15:G16)</f>
        <v>201000</v>
      </c>
      <c r="H14" s="131">
        <f>SUM(H15:H16)</f>
        <v>201000</v>
      </c>
    </row>
    <row r="15" spans="1:8" ht="15.75">
      <c r="A15" s="102" t="s">
        <v>390</v>
      </c>
      <c r="B15" s="21"/>
      <c r="C15" s="21"/>
      <c r="D15" s="21" t="s">
        <v>47</v>
      </c>
      <c r="E15" s="201" t="s">
        <v>48</v>
      </c>
      <c r="F15" s="201"/>
      <c r="G15" s="122">
        <v>200000</v>
      </c>
      <c r="H15" s="131">
        <v>200000</v>
      </c>
    </row>
    <row r="16" spans="1:8" ht="15.75">
      <c r="A16" s="102" t="s">
        <v>391</v>
      </c>
      <c r="B16" s="21"/>
      <c r="C16" s="21"/>
      <c r="D16" s="21" t="s">
        <v>51</v>
      </c>
      <c r="E16" s="201" t="s">
        <v>52</v>
      </c>
      <c r="F16" s="201"/>
      <c r="G16" s="122">
        <v>1000</v>
      </c>
      <c r="H16" s="131">
        <v>1000</v>
      </c>
    </row>
    <row r="17" spans="1:8" ht="15.75">
      <c r="A17" s="102" t="s">
        <v>392</v>
      </c>
      <c r="B17" s="47" t="s">
        <v>15</v>
      </c>
      <c r="C17" s="47"/>
      <c r="D17" s="203" t="s">
        <v>16</v>
      </c>
      <c r="E17" s="203"/>
      <c r="F17" s="203"/>
      <c r="G17" s="123">
        <f>SUM(G18:G18)</f>
        <v>600000</v>
      </c>
      <c r="H17" s="132">
        <f>SUM(H18:H18)</f>
        <v>600000</v>
      </c>
    </row>
    <row r="18" spans="1:8" ht="15.75">
      <c r="A18" s="102" t="s">
        <v>393</v>
      </c>
      <c r="B18" s="21"/>
      <c r="C18" s="21" t="s">
        <v>53</v>
      </c>
      <c r="D18" s="21"/>
      <c r="E18" s="201" t="s">
        <v>54</v>
      </c>
      <c r="F18" s="201"/>
      <c r="G18" s="122">
        <v>600000</v>
      </c>
      <c r="H18" s="131">
        <v>600000</v>
      </c>
    </row>
    <row r="19" spans="1:8" ht="15.75">
      <c r="A19" s="102" t="s">
        <v>394</v>
      </c>
      <c r="B19" s="47" t="s">
        <v>10</v>
      </c>
      <c r="C19" s="47"/>
      <c r="D19" s="203" t="s">
        <v>11</v>
      </c>
      <c r="E19" s="203"/>
      <c r="F19" s="203"/>
      <c r="G19" s="123">
        <f>SUM(G20:G20)</f>
        <v>200000</v>
      </c>
      <c r="H19" s="132">
        <f>SUM(H20:H21)</f>
        <v>864800</v>
      </c>
    </row>
    <row r="20" spans="1:8" ht="15.75">
      <c r="A20" s="102" t="s">
        <v>395</v>
      </c>
      <c r="B20" s="21"/>
      <c r="C20" s="21" t="s">
        <v>841</v>
      </c>
      <c r="D20" s="21"/>
      <c r="E20" s="201" t="s">
        <v>56</v>
      </c>
      <c r="F20" s="201"/>
      <c r="G20" s="122">
        <v>200000</v>
      </c>
      <c r="H20" s="131">
        <v>200000</v>
      </c>
    </row>
    <row r="21" spans="1:8" ht="15.75">
      <c r="A21" s="102" t="s">
        <v>396</v>
      </c>
      <c r="B21" s="21"/>
      <c r="C21" s="21" t="s">
        <v>825</v>
      </c>
      <c r="D21" s="21"/>
      <c r="E21" s="201" t="s">
        <v>826</v>
      </c>
      <c r="F21" s="201"/>
      <c r="G21" s="122"/>
      <c r="H21" s="131">
        <v>664800</v>
      </c>
    </row>
    <row r="22" spans="1:8" ht="15.75" customHeight="1">
      <c r="A22" s="102" t="s">
        <v>397</v>
      </c>
      <c r="B22" s="21"/>
      <c r="C22" s="21"/>
      <c r="D22" s="21"/>
      <c r="E22" s="21"/>
      <c r="F22" s="21"/>
      <c r="G22" s="69"/>
      <c r="H22" s="133"/>
    </row>
    <row r="23" spans="1:8" ht="15.75" customHeight="1">
      <c r="A23" s="102" t="s">
        <v>398</v>
      </c>
      <c r="B23" s="202" t="s">
        <v>57</v>
      </c>
      <c r="C23" s="202"/>
      <c r="D23" s="202"/>
      <c r="E23" s="202"/>
      <c r="F23" s="202"/>
      <c r="G23" s="43">
        <f>SUM(G24)</f>
        <v>101265000</v>
      </c>
      <c r="H23" s="134">
        <f>SUM(H24)</f>
        <v>101265000</v>
      </c>
    </row>
    <row r="24" spans="1:8" ht="15.75" customHeight="1">
      <c r="A24" s="102" t="s">
        <v>399</v>
      </c>
      <c r="B24" s="47" t="s">
        <v>6</v>
      </c>
      <c r="C24" s="47"/>
      <c r="D24" s="203" t="s">
        <v>7</v>
      </c>
      <c r="E24" s="203"/>
      <c r="F24" s="203"/>
      <c r="G24" s="22">
        <f>G25+G28+G33</f>
        <v>101265000</v>
      </c>
      <c r="H24" s="135">
        <f>H25+H28+H33</f>
        <v>101265000</v>
      </c>
    </row>
    <row r="25" spans="1:8" ht="15.75" customHeight="1">
      <c r="A25" s="102" t="s">
        <v>400</v>
      </c>
      <c r="B25" s="21"/>
      <c r="C25" s="47" t="s">
        <v>58</v>
      </c>
      <c r="D25" s="47"/>
      <c r="E25" s="203" t="s">
        <v>59</v>
      </c>
      <c r="F25" s="203"/>
      <c r="G25" s="22">
        <f>SUM(G26:G27)</f>
        <v>62000000</v>
      </c>
      <c r="H25" s="135">
        <f>SUM(H26:H27)</f>
        <v>62000000</v>
      </c>
    </row>
    <row r="26" spans="1:8" ht="15.75" customHeight="1">
      <c r="A26" s="102" t="s">
        <v>401</v>
      </c>
      <c r="B26" s="21"/>
      <c r="C26" s="21"/>
      <c r="D26" s="21" t="s">
        <v>60</v>
      </c>
      <c r="E26" s="21"/>
      <c r="F26" s="21" t="s">
        <v>61</v>
      </c>
      <c r="G26" s="44">
        <v>50000000</v>
      </c>
      <c r="H26" s="136">
        <v>50000000</v>
      </c>
    </row>
    <row r="27" spans="1:8" ht="15.75" customHeight="1">
      <c r="A27" s="102" t="s">
        <v>402</v>
      </c>
      <c r="B27" s="47"/>
      <c r="C27" s="47"/>
      <c r="D27" s="21" t="s">
        <v>62</v>
      </c>
      <c r="E27" s="47"/>
      <c r="F27" s="21" t="s">
        <v>63</v>
      </c>
      <c r="G27" s="69">
        <v>12000000</v>
      </c>
      <c r="H27" s="133">
        <v>12000000</v>
      </c>
    </row>
    <row r="28" spans="1:8" ht="15.75" customHeight="1">
      <c r="A28" s="102" t="s">
        <v>403</v>
      </c>
      <c r="B28" s="47"/>
      <c r="C28" s="47" t="s">
        <v>64</v>
      </c>
      <c r="D28" s="47"/>
      <c r="E28" s="203" t="s">
        <v>65</v>
      </c>
      <c r="F28" s="203"/>
      <c r="G28" s="22">
        <f>G29+G31</f>
        <v>38765000</v>
      </c>
      <c r="H28" s="135">
        <f>H29+H31</f>
        <v>38765000</v>
      </c>
    </row>
    <row r="29" spans="1:8" ht="15.75" customHeight="1">
      <c r="A29" s="102" t="s">
        <v>404</v>
      </c>
      <c r="B29" s="47"/>
      <c r="C29" s="21"/>
      <c r="D29" s="21" t="s">
        <v>66</v>
      </c>
      <c r="E29" s="201" t="s">
        <v>67</v>
      </c>
      <c r="F29" s="201"/>
      <c r="G29" s="69">
        <f>SUM(G30)</f>
        <v>18765000</v>
      </c>
      <c r="H29" s="133">
        <f>SUM(H30)</f>
        <v>18765000</v>
      </c>
    </row>
    <row r="30" spans="1:8" ht="15.75" customHeight="1">
      <c r="A30" s="102" t="s">
        <v>405</v>
      </c>
      <c r="B30" s="47"/>
      <c r="C30" s="21"/>
      <c r="D30" s="21"/>
      <c r="E30" s="21"/>
      <c r="F30" s="21" t="s">
        <v>68</v>
      </c>
      <c r="G30" s="44">
        <v>18765000</v>
      </c>
      <c r="H30" s="136">
        <v>18765000</v>
      </c>
    </row>
    <row r="31" spans="1:8" ht="15.75" customHeight="1">
      <c r="A31" s="102" t="s">
        <v>406</v>
      </c>
      <c r="B31" s="47"/>
      <c r="C31" s="21"/>
      <c r="D31" s="21" t="s">
        <v>69</v>
      </c>
      <c r="E31" s="201" t="s">
        <v>70</v>
      </c>
      <c r="F31" s="201"/>
      <c r="G31" s="69">
        <f>SUM(G32:G32)</f>
        <v>20000000</v>
      </c>
      <c r="H31" s="133">
        <f>SUM(H32:H32)</f>
        <v>20000000</v>
      </c>
    </row>
    <row r="32" spans="1:8" ht="15.75" customHeight="1">
      <c r="A32" s="102" t="s">
        <v>407</v>
      </c>
      <c r="B32" s="47"/>
      <c r="C32" s="21"/>
      <c r="D32" s="21"/>
      <c r="E32" s="21"/>
      <c r="F32" s="21" t="s">
        <v>71</v>
      </c>
      <c r="G32" s="69">
        <v>20000000</v>
      </c>
      <c r="H32" s="133">
        <v>20000000</v>
      </c>
    </row>
    <row r="33" spans="1:8" ht="15.75" customHeight="1">
      <c r="A33" s="102" t="s">
        <v>408</v>
      </c>
      <c r="B33" s="21"/>
      <c r="C33" s="47" t="s">
        <v>72</v>
      </c>
      <c r="D33" s="47"/>
      <c r="E33" s="203" t="s">
        <v>73</v>
      </c>
      <c r="F33" s="203"/>
      <c r="G33" s="22">
        <f>G34</f>
        <v>500000</v>
      </c>
      <c r="H33" s="135">
        <f>H34</f>
        <v>500000</v>
      </c>
    </row>
    <row r="34" spans="1:8" ht="15.75" customHeight="1">
      <c r="A34" s="102" t="s">
        <v>409</v>
      </c>
      <c r="B34" s="21"/>
      <c r="C34" s="21"/>
      <c r="D34" s="21" t="s">
        <v>74</v>
      </c>
      <c r="E34" s="21"/>
      <c r="F34" s="21" t="s">
        <v>75</v>
      </c>
      <c r="G34" s="69">
        <v>500000</v>
      </c>
      <c r="H34" s="133">
        <v>500000</v>
      </c>
    </row>
    <row r="35" spans="1:8" ht="15.75" customHeight="1">
      <c r="A35" s="102" t="s">
        <v>410</v>
      </c>
      <c r="B35" s="47"/>
      <c r="C35" s="21"/>
      <c r="D35" s="21"/>
      <c r="E35" s="21"/>
      <c r="F35" s="21"/>
      <c r="G35" s="69"/>
      <c r="H35" s="133"/>
    </row>
    <row r="36" spans="1:8" ht="15.75" customHeight="1">
      <c r="A36" s="102" t="s">
        <v>411</v>
      </c>
      <c r="B36" s="192" t="s">
        <v>76</v>
      </c>
      <c r="C36" s="192"/>
      <c r="D36" s="192"/>
      <c r="E36" s="192"/>
      <c r="F36" s="192"/>
      <c r="G36" s="43">
        <f>SUM(G37)</f>
        <v>190000</v>
      </c>
      <c r="H36" s="134">
        <f>SUM(H37)</f>
        <v>190000</v>
      </c>
    </row>
    <row r="37" spans="1:8" ht="15.75" customHeight="1">
      <c r="A37" s="102" t="s">
        <v>412</v>
      </c>
      <c r="B37" s="47" t="s">
        <v>8</v>
      </c>
      <c r="C37" s="47"/>
      <c r="D37" s="203" t="s">
        <v>9</v>
      </c>
      <c r="E37" s="203"/>
      <c r="F37" s="203"/>
      <c r="G37" s="69">
        <f>G38+G39</f>
        <v>190000</v>
      </c>
      <c r="H37" s="133">
        <f>H38+H39</f>
        <v>190000</v>
      </c>
    </row>
    <row r="38" spans="1:8" ht="15.75" customHeight="1">
      <c r="A38" s="102" t="s">
        <v>413</v>
      </c>
      <c r="B38" s="47"/>
      <c r="C38" s="21"/>
      <c r="D38" s="21" t="s">
        <v>47</v>
      </c>
      <c r="E38" s="21"/>
      <c r="F38" s="21" t="s">
        <v>77</v>
      </c>
      <c r="G38" s="69">
        <v>150000</v>
      </c>
      <c r="H38" s="133">
        <v>150000</v>
      </c>
    </row>
    <row r="39" spans="1:8" ht="15.75" customHeight="1">
      <c r="A39" s="102" t="s">
        <v>414</v>
      </c>
      <c r="B39" s="47"/>
      <c r="C39" s="21"/>
      <c r="D39" s="21" t="s">
        <v>49</v>
      </c>
      <c r="E39" s="21"/>
      <c r="F39" s="21" t="s">
        <v>50</v>
      </c>
      <c r="G39" s="69">
        <v>40000</v>
      </c>
      <c r="H39" s="133">
        <v>40000</v>
      </c>
    </row>
    <row r="40" spans="1:8" ht="15.75" customHeight="1">
      <c r="A40" s="102" t="s">
        <v>415</v>
      </c>
      <c r="B40" s="21"/>
      <c r="C40" s="21"/>
      <c r="D40" s="21"/>
      <c r="E40" s="21"/>
      <c r="F40" s="21"/>
      <c r="G40" s="69"/>
      <c r="H40" s="133"/>
    </row>
    <row r="41" spans="1:8" ht="15.75" customHeight="1">
      <c r="A41" s="102" t="s">
        <v>416</v>
      </c>
      <c r="B41" s="192" t="s">
        <v>78</v>
      </c>
      <c r="C41" s="192"/>
      <c r="D41" s="192"/>
      <c r="E41" s="192"/>
      <c r="F41" s="192"/>
      <c r="G41" s="43">
        <f>G42+G44</f>
        <v>124300000</v>
      </c>
      <c r="H41" s="134">
        <f>H42+H44+H50</f>
        <v>124300000</v>
      </c>
    </row>
    <row r="42" spans="1:8" ht="15.75" customHeight="1">
      <c r="A42" s="102" t="s">
        <v>417</v>
      </c>
      <c r="B42" s="76" t="s">
        <v>13</v>
      </c>
      <c r="C42" s="185"/>
      <c r="D42" s="206" t="s">
        <v>827</v>
      </c>
      <c r="E42" s="206"/>
      <c r="F42" s="206"/>
      <c r="G42" s="70">
        <f>SUM(G43)</f>
        <v>25000000</v>
      </c>
      <c r="H42" s="137">
        <f>SUM(H43)</f>
        <v>0</v>
      </c>
    </row>
    <row r="43" spans="1:8" ht="15.75" customHeight="1">
      <c r="A43" s="102" t="s">
        <v>418</v>
      </c>
      <c r="B43" s="76"/>
      <c r="C43" s="185"/>
      <c r="D43" s="186" t="s">
        <v>367</v>
      </c>
      <c r="E43" s="207" t="s">
        <v>339</v>
      </c>
      <c r="F43" s="207"/>
      <c r="G43" s="75">
        <v>25000000</v>
      </c>
      <c r="H43" s="138">
        <v>0</v>
      </c>
    </row>
    <row r="44" spans="1:8" ht="15.75" customHeight="1">
      <c r="A44" s="102" t="s">
        <v>419</v>
      </c>
      <c r="B44" s="47" t="s">
        <v>8</v>
      </c>
      <c r="C44" s="47"/>
      <c r="D44" s="203" t="s">
        <v>9</v>
      </c>
      <c r="E44" s="203"/>
      <c r="F44" s="203"/>
      <c r="G44" s="22">
        <f>G45+G48+G49</f>
        <v>99300000</v>
      </c>
      <c r="H44" s="135">
        <f>H45+H48+H49</f>
        <v>99300000</v>
      </c>
    </row>
    <row r="45" spans="1:8" ht="15.75" customHeight="1">
      <c r="A45" s="102" t="s">
        <v>420</v>
      </c>
      <c r="B45" s="21"/>
      <c r="C45" s="21"/>
      <c r="D45" s="21" t="s">
        <v>47</v>
      </c>
      <c r="E45" s="201" t="s">
        <v>77</v>
      </c>
      <c r="F45" s="201"/>
      <c r="G45" s="69">
        <f>SUM(G46:G47)</f>
        <v>76300000</v>
      </c>
      <c r="H45" s="133">
        <f>SUM(H46:H47)</f>
        <v>76300000</v>
      </c>
    </row>
    <row r="46" spans="1:8" ht="15.75" customHeight="1">
      <c r="A46" s="102" t="s">
        <v>421</v>
      </c>
      <c r="B46" s="21"/>
      <c r="C46" s="21"/>
      <c r="D46" s="21"/>
      <c r="E46" s="21"/>
      <c r="F46" s="21" t="s">
        <v>79</v>
      </c>
      <c r="G46" s="45">
        <v>76000000</v>
      </c>
      <c r="H46" s="139">
        <v>76000000</v>
      </c>
    </row>
    <row r="47" spans="1:8" ht="15.75" customHeight="1">
      <c r="A47" s="102" t="s">
        <v>422</v>
      </c>
      <c r="B47" s="21"/>
      <c r="C47" s="21"/>
      <c r="D47" s="21"/>
      <c r="E47" s="21"/>
      <c r="F47" s="21" t="s">
        <v>80</v>
      </c>
      <c r="G47" s="69">
        <v>300000</v>
      </c>
      <c r="H47" s="133">
        <v>300000</v>
      </c>
    </row>
    <row r="48" spans="1:8" ht="15.75" customHeight="1">
      <c r="A48" s="102" t="s">
        <v>423</v>
      </c>
      <c r="B48" s="21"/>
      <c r="C48" s="21"/>
      <c r="D48" s="21" t="s">
        <v>81</v>
      </c>
      <c r="E48" s="201" t="s">
        <v>82</v>
      </c>
      <c r="F48" s="201"/>
      <c r="G48" s="69">
        <v>2000000</v>
      </c>
      <c r="H48" s="133">
        <v>2000000</v>
      </c>
    </row>
    <row r="49" spans="1:8" ht="15.75" customHeight="1">
      <c r="A49" s="102" t="s">
        <v>424</v>
      </c>
      <c r="B49" s="21"/>
      <c r="C49" s="21"/>
      <c r="D49" s="21" t="s">
        <v>49</v>
      </c>
      <c r="E49" s="201" t="s">
        <v>50</v>
      </c>
      <c r="F49" s="201"/>
      <c r="G49" s="45">
        <v>21000000</v>
      </c>
      <c r="H49" s="139">
        <v>21000000</v>
      </c>
    </row>
    <row r="50" spans="1:8" ht="15.75" customHeight="1">
      <c r="A50" s="102" t="s">
        <v>425</v>
      </c>
      <c r="B50" s="47" t="s">
        <v>15</v>
      </c>
      <c r="C50" s="21"/>
      <c r="D50" s="203" t="s">
        <v>828</v>
      </c>
      <c r="E50" s="203"/>
      <c r="F50" s="203"/>
      <c r="G50" s="45"/>
      <c r="H50" s="187">
        <f>SUM(H51)</f>
        <v>25000000</v>
      </c>
    </row>
    <row r="51" spans="1:8" ht="15.75" customHeight="1">
      <c r="A51" s="102" t="s">
        <v>426</v>
      </c>
      <c r="B51" s="21"/>
      <c r="C51" s="21"/>
      <c r="D51" s="186" t="s">
        <v>53</v>
      </c>
      <c r="E51" s="207" t="s">
        <v>339</v>
      </c>
      <c r="F51" s="207"/>
      <c r="G51" s="45"/>
      <c r="H51" s="139">
        <v>25000000</v>
      </c>
    </row>
    <row r="52" spans="1:8" ht="15.75" customHeight="1">
      <c r="A52" s="102" t="s">
        <v>427</v>
      </c>
      <c r="B52" s="21"/>
      <c r="C52" s="21"/>
      <c r="D52" s="21"/>
      <c r="E52" s="94"/>
      <c r="F52" s="94"/>
      <c r="G52" s="45"/>
      <c r="H52" s="139"/>
    </row>
    <row r="53" spans="1:8" ht="15.75" customHeight="1">
      <c r="A53" s="102" t="s">
        <v>428</v>
      </c>
      <c r="B53" s="21"/>
      <c r="C53" s="21"/>
      <c r="D53" s="21"/>
      <c r="E53" s="21"/>
      <c r="F53" s="21"/>
      <c r="G53" s="69"/>
      <c r="H53" s="133"/>
    </row>
    <row r="54" spans="1:8" ht="15.75" customHeight="1">
      <c r="A54" s="102" t="s">
        <v>429</v>
      </c>
      <c r="B54" s="202" t="s">
        <v>83</v>
      </c>
      <c r="C54" s="202"/>
      <c r="D54" s="202"/>
      <c r="E54" s="202"/>
      <c r="F54" s="202"/>
      <c r="G54" s="43">
        <f>G55</f>
        <v>82609151</v>
      </c>
      <c r="H54" s="134">
        <f>H55</f>
        <v>90092851</v>
      </c>
    </row>
    <row r="55" spans="1:8" ht="15.75" customHeight="1">
      <c r="A55" s="102" t="s">
        <v>430</v>
      </c>
      <c r="B55" s="47" t="s">
        <v>4</v>
      </c>
      <c r="C55" s="47"/>
      <c r="D55" s="203" t="s">
        <v>5</v>
      </c>
      <c r="E55" s="203"/>
      <c r="F55" s="203"/>
      <c r="G55" s="22">
        <f>G56</f>
        <v>82609151</v>
      </c>
      <c r="H55" s="135">
        <f>H56</f>
        <v>90092851</v>
      </c>
    </row>
    <row r="56" spans="1:8" ht="15.75" customHeight="1">
      <c r="A56" s="102" t="s">
        <v>431</v>
      </c>
      <c r="B56" s="21"/>
      <c r="C56" s="21" t="s">
        <v>84</v>
      </c>
      <c r="D56" s="21"/>
      <c r="E56" s="201" t="s">
        <v>85</v>
      </c>
      <c r="F56" s="201"/>
      <c r="G56" s="69">
        <f>G57+G65+G66+G67+G68+G69</f>
        <v>82609151</v>
      </c>
      <c r="H56" s="133">
        <f>H57+H65+H66+H67+H68+H69</f>
        <v>90092851</v>
      </c>
    </row>
    <row r="57" spans="1:8" ht="15.75" customHeight="1">
      <c r="A57" s="102" t="s">
        <v>432</v>
      </c>
      <c r="B57" s="47"/>
      <c r="C57" s="47"/>
      <c r="D57" s="21" t="s">
        <v>86</v>
      </c>
      <c r="E57" s="201" t="s">
        <v>87</v>
      </c>
      <c r="F57" s="201"/>
      <c r="G57" s="69">
        <f>SUM(G58:G64)</f>
        <v>35262175</v>
      </c>
      <c r="H57" s="133">
        <f>SUM(H58:H64)</f>
        <v>35262175</v>
      </c>
    </row>
    <row r="58" spans="1:8" ht="15.75" customHeight="1">
      <c r="A58" s="102" t="s">
        <v>433</v>
      </c>
      <c r="B58" s="47"/>
      <c r="C58" s="47"/>
      <c r="D58" s="21"/>
      <c r="E58" s="94"/>
      <c r="F58" s="21" t="s">
        <v>116</v>
      </c>
      <c r="G58" s="69">
        <v>5972400</v>
      </c>
      <c r="H58" s="133">
        <v>5972400</v>
      </c>
    </row>
    <row r="59" spans="1:8" ht="15.75" customHeight="1">
      <c r="A59" s="102" t="s">
        <v>434</v>
      </c>
      <c r="B59" s="47"/>
      <c r="C59" s="47"/>
      <c r="D59" s="21"/>
      <c r="E59" s="94"/>
      <c r="F59" s="21" t="s">
        <v>117</v>
      </c>
      <c r="G59" s="69">
        <v>14816000</v>
      </c>
      <c r="H59" s="133">
        <v>14816000</v>
      </c>
    </row>
    <row r="60" spans="1:8" ht="15.75" customHeight="1">
      <c r="A60" s="102" t="s">
        <v>435</v>
      </c>
      <c r="B60" s="47"/>
      <c r="C60" s="47"/>
      <c r="D60" s="21"/>
      <c r="E60" s="94"/>
      <c r="F60" s="21" t="s">
        <v>118</v>
      </c>
      <c r="G60" s="69">
        <v>812130</v>
      </c>
      <c r="H60" s="133">
        <v>812130</v>
      </c>
    </row>
    <row r="61" spans="1:8" ht="15.75" customHeight="1">
      <c r="A61" s="102" t="s">
        <v>436</v>
      </c>
      <c r="B61" s="47"/>
      <c r="C61" s="47"/>
      <c r="D61" s="21"/>
      <c r="E61" s="94"/>
      <c r="F61" s="21" t="s">
        <v>119</v>
      </c>
      <c r="G61" s="69">
        <v>3704775</v>
      </c>
      <c r="H61" s="133">
        <v>3704775</v>
      </c>
    </row>
    <row r="62" spans="1:8" ht="15.75" customHeight="1">
      <c r="A62" s="102" t="s">
        <v>437</v>
      </c>
      <c r="B62" s="47"/>
      <c r="C62" s="47"/>
      <c r="D62" s="21"/>
      <c r="E62" s="94"/>
      <c r="F62" s="21" t="s">
        <v>349</v>
      </c>
      <c r="G62" s="69">
        <v>214200</v>
      </c>
      <c r="H62" s="133">
        <v>214200</v>
      </c>
    </row>
    <row r="63" spans="1:8" ht="15.75" customHeight="1">
      <c r="A63" s="102" t="s">
        <v>438</v>
      </c>
      <c r="B63" s="47"/>
      <c r="C63" s="47"/>
      <c r="D63" s="21"/>
      <c r="E63" s="94"/>
      <c r="F63" s="21" t="s">
        <v>336</v>
      </c>
      <c r="G63" s="69">
        <v>8000000</v>
      </c>
      <c r="H63" s="133">
        <v>8000000</v>
      </c>
    </row>
    <row r="64" spans="1:8" ht="15.75" customHeight="1">
      <c r="A64" s="102" t="s">
        <v>439</v>
      </c>
      <c r="B64" s="47"/>
      <c r="C64" s="47"/>
      <c r="D64" s="21"/>
      <c r="E64" s="94"/>
      <c r="F64" s="21" t="s">
        <v>372</v>
      </c>
      <c r="G64" s="69">
        <v>1742670</v>
      </c>
      <c r="H64" s="133">
        <v>1742670</v>
      </c>
    </row>
    <row r="65" spans="1:8" ht="15.75" customHeight="1">
      <c r="A65" s="102" t="s">
        <v>440</v>
      </c>
      <c r="B65" s="21"/>
      <c r="C65" s="21"/>
      <c r="D65" s="21" t="s">
        <v>88</v>
      </c>
      <c r="E65" s="201" t="s">
        <v>89</v>
      </c>
      <c r="F65" s="201"/>
      <c r="G65" s="69">
        <f>16494000+1802870</f>
        <v>18296870</v>
      </c>
      <c r="H65" s="133">
        <f>16494000+1802870</f>
        <v>18296870</v>
      </c>
    </row>
    <row r="66" spans="1:8" ht="15.75" customHeight="1">
      <c r="A66" s="102" t="s">
        <v>441</v>
      </c>
      <c r="B66" s="21"/>
      <c r="C66" s="21"/>
      <c r="D66" s="21" t="s">
        <v>332</v>
      </c>
      <c r="E66" s="201" t="s">
        <v>329</v>
      </c>
      <c r="F66" s="201"/>
      <c r="G66" s="69">
        <v>5726000</v>
      </c>
      <c r="H66" s="133">
        <v>5726000</v>
      </c>
    </row>
    <row r="67" spans="1:8" ht="15.75" customHeight="1">
      <c r="A67" s="102" t="s">
        <v>442</v>
      </c>
      <c r="B67" s="21"/>
      <c r="C67" s="21"/>
      <c r="D67" s="21" t="s">
        <v>331</v>
      </c>
      <c r="E67" s="201" t="s">
        <v>330</v>
      </c>
      <c r="F67" s="201"/>
      <c r="G67" s="69">
        <v>16741788</v>
      </c>
      <c r="H67" s="133">
        <v>16741788</v>
      </c>
    </row>
    <row r="68" spans="1:8" ht="15.75" customHeight="1">
      <c r="A68" s="102" t="s">
        <v>443</v>
      </c>
      <c r="B68" s="21"/>
      <c r="C68" s="21"/>
      <c r="D68" s="21" t="s">
        <v>90</v>
      </c>
      <c r="E68" s="201" t="s">
        <v>91</v>
      </c>
      <c r="F68" s="201"/>
      <c r="G68" s="69">
        <v>2666665</v>
      </c>
      <c r="H68" s="133">
        <v>2666665</v>
      </c>
    </row>
    <row r="69" spans="1:8" ht="15.75" customHeight="1">
      <c r="A69" s="102" t="s">
        <v>444</v>
      </c>
      <c r="B69" s="21"/>
      <c r="C69" s="21"/>
      <c r="D69" s="21" t="s">
        <v>342</v>
      </c>
      <c r="E69" s="201" t="s">
        <v>343</v>
      </c>
      <c r="F69" s="201"/>
      <c r="G69" s="44">
        <f>SUM(G70:G70)</f>
        <v>3915653</v>
      </c>
      <c r="H69" s="136">
        <f>SUM(H70:H71)</f>
        <v>11399353</v>
      </c>
    </row>
    <row r="70" spans="1:8" ht="15.75" customHeight="1">
      <c r="A70" s="102" t="s">
        <v>445</v>
      </c>
      <c r="B70" s="21"/>
      <c r="C70" s="21"/>
      <c r="D70" s="21"/>
      <c r="E70" s="94"/>
      <c r="F70" s="94" t="s">
        <v>354</v>
      </c>
      <c r="G70" s="69">
        <v>3915653</v>
      </c>
      <c r="H70" s="133">
        <v>3915653</v>
      </c>
    </row>
    <row r="71" spans="1:8" ht="15.75" customHeight="1">
      <c r="A71" s="102" t="s">
        <v>446</v>
      </c>
      <c r="B71" s="21"/>
      <c r="C71" s="21"/>
      <c r="D71" s="21"/>
      <c r="E71" s="94"/>
      <c r="F71" s="94" t="s">
        <v>839</v>
      </c>
      <c r="G71" s="69"/>
      <c r="H71" s="133">
        <v>7483700</v>
      </c>
    </row>
    <row r="72" spans="1:8" ht="15.75" customHeight="1">
      <c r="A72" s="102" t="s">
        <v>447</v>
      </c>
      <c r="B72" s="208"/>
      <c r="C72" s="208"/>
      <c r="D72" s="208"/>
      <c r="E72" s="208"/>
      <c r="F72" s="208"/>
      <c r="G72" s="44"/>
      <c r="H72" s="136"/>
    </row>
    <row r="73" spans="1:8" ht="15.75" customHeight="1">
      <c r="A73" s="102" t="s">
        <v>448</v>
      </c>
      <c r="B73" s="202" t="s">
        <v>93</v>
      </c>
      <c r="C73" s="202"/>
      <c r="D73" s="202"/>
      <c r="E73" s="202"/>
      <c r="F73" s="202"/>
      <c r="G73" s="43">
        <f>G74</f>
        <v>3000000</v>
      </c>
      <c r="H73" s="134">
        <f>H74</f>
        <v>4515301</v>
      </c>
    </row>
    <row r="74" spans="1:8" ht="15.75" customHeight="1">
      <c r="A74" s="102" t="s">
        <v>449</v>
      </c>
      <c r="B74" s="47" t="s">
        <v>20</v>
      </c>
      <c r="C74" s="47"/>
      <c r="D74" s="203" t="s">
        <v>19</v>
      </c>
      <c r="E74" s="203"/>
      <c r="F74" s="203"/>
      <c r="G74" s="69">
        <f>G75</f>
        <v>3000000</v>
      </c>
      <c r="H74" s="133">
        <f>H75</f>
        <v>4515301</v>
      </c>
    </row>
    <row r="75" spans="1:8" ht="15.75" customHeight="1">
      <c r="A75" s="102" t="s">
        <v>450</v>
      </c>
      <c r="B75" s="21"/>
      <c r="C75" s="21"/>
      <c r="D75" s="21" t="s">
        <v>94</v>
      </c>
      <c r="E75" s="201" t="s">
        <v>95</v>
      </c>
      <c r="F75" s="201"/>
      <c r="G75" s="69">
        <v>3000000</v>
      </c>
      <c r="H75" s="133">
        <f>3000000+1515301</f>
        <v>4515301</v>
      </c>
    </row>
    <row r="76" spans="1:8" ht="15.75" customHeight="1">
      <c r="A76" s="102" t="s">
        <v>451</v>
      </c>
      <c r="B76" s="208"/>
      <c r="C76" s="208"/>
      <c r="D76" s="208"/>
      <c r="E76" s="208"/>
      <c r="F76" s="208"/>
      <c r="G76" s="44"/>
      <c r="H76" s="136"/>
    </row>
    <row r="77" spans="1:8" ht="15.75" customHeight="1">
      <c r="A77" s="102" t="s">
        <v>452</v>
      </c>
      <c r="B77" s="202" t="s">
        <v>96</v>
      </c>
      <c r="C77" s="202"/>
      <c r="D77" s="202"/>
      <c r="E77" s="202"/>
      <c r="F77" s="202"/>
      <c r="G77" s="43">
        <f>G78+G82</f>
        <v>106446350</v>
      </c>
      <c r="H77" s="134">
        <f>H78+H82</f>
        <v>106446350</v>
      </c>
    </row>
    <row r="78" spans="1:8" ht="15.75" customHeight="1">
      <c r="A78" s="102" t="s">
        <v>453</v>
      </c>
      <c r="B78" s="47" t="s">
        <v>4</v>
      </c>
      <c r="C78" s="47"/>
      <c r="D78" s="203" t="s">
        <v>5</v>
      </c>
      <c r="E78" s="203"/>
      <c r="F78" s="203"/>
      <c r="G78" s="46">
        <f>G79</f>
        <v>10175498</v>
      </c>
      <c r="H78" s="140">
        <f>H79</f>
        <v>10175498</v>
      </c>
    </row>
    <row r="79" spans="1:8" ht="15.75" customHeight="1">
      <c r="A79" s="102" t="s">
        <v>454</v>
      </c>
      <c r="B79" s="21"/>
      <c r="C79" s="21" t="s">
        <v>46</v>
      </c>
      <c r="D79" s="21"/>
      <c r="E79" s="201" t="s">
        <v>97</v>
      </c>
      <c r="F79" s="201"/>
      <c r="G79" s="44">
        <f>G80+G81</f>
        <v>10175498</v>
      </c>
      <c r="H79" s="136">
        <f>H80+H81</f>
        <v>10175498</v>
      </c>
    </row>
    <row r="80" spans="1:8" ht="15.75" customHeight="1">
      <c r="A80" s="102" t="s">
        <v>455</v>
      </c>
      <c r="B80" s="93"/>
      <c r="C80" s="93"/>
      <c r="D80" s="93"/>
      <c r="E80" s="93"/>
      <c r="F80" s="92" t="s">
        <v>98</v>
      </c>
      <c r="G80" s="44">
        <v>3107498</v>
      </c>
      <c r="H80" s="136">
        <v>3107498</v>
      </c>
    </row>
    <row r="81" spans="1:8" ht="15.75" customHeight="1">
      <c r="A81" s="102" t="s">
        <v>456</v>
      </c>
      <c r="B81" s="93"/>
      <c r="C81" s="92"/>
      <c r="D81" s="93"/>
      <c r="E81" s="93"/>
      <c r="F81" s="21" t="s">
        <v>309</v>
      </c>
      <c r="G81" s="44">
        <v>7068000</v>
      </c>
      <c r="H81" s="136">
        <v>7068000</v>
      </c>
    </row>
    <row r="82" spans="1:8" ht="15.75" customHeight="1">
      <c r="A82" s="102" t="s">
        <v>457</v>
      </c>
      <c r="B82" s="47" t="s">
        <v>20</v>
      </c>
      <c r="C82" s="47"/>
      <c r="D82" s="203" t="s">
        <v>19</v>
      </c>
      <c r="E82" s="203"/>
      <c r="F82" s="203"/>
      <c r="G82" s="22">
        <f>SUM(G83)</f>
        <v>96270852</v>
      </c>
      <c r="H82" s="135">
        <f>SUM(H83)</f>
        <v>96270852</v>
      </c>
    </row>
    <row r="83" spans="1:8" ht="15.75" customHeight="1">
      <c r="A83" s="102" t="s">
        <v>458</v>
      </c>
      <c r="B83" s="21"/>
      <c r="C83" s="21" t="s">
        <v>99</v>
      </c>
      <c r="D83" s="21"/>
      <c r="E83" s="201" t="s">
        <v>100</v>
      </c>
      <c r="F83" s="201"/>
      <c r="G83" s="69">
        <f>G84</f>
        <v>96270852</v>
      </c>
      <c r="H83" s="133">
        <f>H84</f>
        <v>96270852</v>
      </c>
    </row>
    <row r="84" spans="1:8" ht="15.75" customHeight="1">
      <c r="A84" s="102" t="s">
        <v>459</v>
      </c>
      <c r="B84" s="21"/>
      <c r="C84" s="21"/>
      <c r="D84" s="21" t="s">
        <v>101</v>
      </c>
      <c r="E84" s="21"/>
      <c r="F84" s="21" t="s">
        <v>102</v>
      </c>
      <c r="G84" s="69">
        <v>96270852</v>
      </c>
      <c r="H84" s="133">
        <v>96270852</v>
      </c>
    </row>
    <row r="85" spans="1:8" ht="15.75" customHeight="1">
      <c r="A85" s="102" t="s">
        <v>460</v>
      </c>
      <c r="B85" s="208"/>
      <c r="C85" s="208"/>
      <c r="D85" s="208"/>
      <c r="E85" s="208"/>
      <c r="F85" s="208"/>
      <c r="G85" s="69"/>
      <c r="H85" s="133"/>
    </row>
    <row r="86" spans="1:8" ht="15.75" customHeight="1">
      <c r="A86" s="102" t="s">
        <v>461</v>
      </c>
      <c r="B86" s="192" t="s">
        <v>296</v>
      </c>
      <c r="C86" s="192"/>
      <c r="D86" s="192"/>
      <c r="E86" s="192"/>
      <c r="F86" s="192"/>
      <c r="G86" s="43">
        <f>G87</f>
        <v>762000</v>
      </c>
      <c r="H86" s="134">
        <f>H87</f>
        <v>762000</v>
      </c>
    </row>
    <row r="87" spans="1:8" ht="15.75" customHeight="1">
      <c r="A87" s="102" t="s">
        <v>462</v>
      </c>
      <c r="B87" s="47" t="s">
        <v>8</v>
      </c>
      <c r="C87" s="47"/>
      <c r="D87" s="203" t="s">
        <v>9</v>
      </c>
      <c r="E87" s="203"/>
      <c r="F87" s="203"/>
      <c r="G87" s="22">
        <f>SUM(G88:G89)</f>
        <v>762000</v>
      </c>
      <c r="H87" s="135">
        <f>SUM(H88:H89)</f>
        <v>762000</v>
      </c>
    </row>
    <row r="88" spans="1:8" ht="15.75" customHeight="1">
      <c r="A88" s="102" t="s">
        <v>463</v>
      </c>
      <c r="B88" s="21"/>
      <c r="C88" s="21"/>
      <c r="D88" s="21" t="s">
        <v>47</v>
      </c>
      <c r="E88" s="201" t="s">
        <v>111</v>
      </c>
      <c r="F88" s="201"/>
      <c r="G88" s="69">
        <v>600000</v>
      </c>
      <c r="H88" s="133">
        <v>600000</v>
      </c>
    </row>
    <row r="89" spans="1:8" ht="15.75" customHeight="1">
      <c r="A89" s="102" t="s">
        <v>464</v>
      </c>
      <c r="B89" s="21"/>
      <c r="C89" s="21"/>
      <c r="D89" s="21" t="s">
        <v>49</v>
      </c>
      <c r="E89" s="201" t="s">
        <v>50</v>
      </c>
      <c r="F89" s="201"/>
      <c r="G89" s="69">
        <v>162000</v>
      </c>
      <c r="H89" s="133">
        <v>162000</v>
      </c>
    </row>
    <row r="90" spans="1:8" ht="15.75" customHeight="1">
      <c r="A90" s="102" t="s">
        <v>465</v>
      </c>
      <c r="B90" s="21"/>
      <c r="C90" s="21"/>
      <c r="D90" s="21"/>
      <c r="E90" s="21"/>
      <c r="F90" s="21"/>
      <c r="G90" s="69"/>
      <c r="H90" s="133"/>
    </row>
    <row r="91" spans="1:8" ht="15.75" customHeight="1">
      <c r="A91" s="102" t="s">
        <v>466</v>
      </c>
      <c r="B91" s="192" t="s">
        <v>104</v>
      </c>
      <c r="C91" s="192"/>
      <c r="D91" s="192"/>
      <c r="E91" s="192"/>
      <c r="F91" s="192"/>
      <c r="G91" s="43">
        <f>G92</f>
        <v>381000</v>
      </c>
      <c r="H91" s="134">
        <f>H92</f>
        <v>381000</v>
      </c>
    </row>
    <row r="92" spans="1:8" ht="15.75" customHeight="1">
      <c r="A92" s="102" t="s">
        <v>467</v>
      </c>
      <c r="B92" s="47" t="s">
        <v>8</v>
      </c>
      <c r="C92" s="47"/>
      <c r="D92" s="203" t="s">
        <v>9</v>
      </c>
      <c r="E92" s="203"/>
      <c r="F92" s="203"/>
      <c r="G92" s="22">
        <f>SUM(G93:G94)</f>
        <v>381000</v>
      </c>
      <c r="H92" s="135">
        <f>SUM(H93:H94)</f>
        <v>381000</v>
      </c>
    </row>
    <row r="93" spans="1:8" ht="15.75" customHeight="1">
      <c r="A93" s="102" t="s">
        <v>468</v>
      </c>
      <c r="B93" s="21"/>
      <c r="C93" s="21"/>
      <c r="D93" s="21" t="s">
        <v>105</v>
      </c>
      <c r="E93" s="201" t="s">
        <v>106</v>
      </c>
      <c r="F93" s="201"/>
      <c r="G93" s="69">
        <v>300000</v>
      </c>
      <c r="H93" s="133">
        <v>300000</v>
      </c>
    </row>
    <row r="94" spans="1:8" ht="15.75" customHeight="1">
      <c r="A94" s="102" t="s">
        <v>469</v>
      </c>
      <c r="B94" s="21"/>
      <c r="C94" s="21"/>
      <c r="D94" s="21" t="s">
        <v>49</v>
      </c>
      <c r="E94" s="201" t="s">
        <v>50</v>
      </c>
      <c r="F94" s="201"/>
      <c r="G94" s="69">
        <v>81000</v>
      </c>
      <c r="H94" s="133">
        <v>81000</v>
      </c>
    </row>
    <row r="95" spans="1:8" ht="15.75" customHeight="1">
      <c r="A95" s="102" t="s">
        <v>470</v>
      </c>
      <c r="B95" s="21"/>
      <c r="C95" s="21"/>
      <c r="D95" s="21"/>
      <c r="E95" s="94"/>
      <c r="F95" s="94"/>
      <c r="G95" s="69"/>
      <c r="H95" s="133"/>
    </row>
    <row r="96" spans="1:8" ht="15.75" customHeight="1">
      <c r="A96" s="102" t="s">
        <v>471</v>
      </c>
      <c r="B96" s="192" t="s">
        <v>317</v>
      </c>
      <c r="C96" s="192"/>
      <c r="D96" s="192"/>
      <c r="E96" s="192"/>
      <c r="F96" s="192"/>
      <c r="G96" s="84">
        <f>SUM(G97)</f>
        <v>15000000</v>
      </c>
      <c r="H96" s="141">
        <f>SUM(H97)</f>
        <v>15000000</v>
      </c>
    </row>
    <row r="97" spans="1:8" ht="15.75" customHeight="1">
      <c r="A97" s="102" t="s">
        <v>472</v>
      </c>
      <c r="B97" s="47" t="s">
        <v>13</v>
      </c>
      <c r="C97" s="21"/>
      <c r="D97" s="203" t="s">
        <v>14</v>
      </c>
      <c r="E97" s="203"/>
      <c r="F97" s="203"/>
      <c r="G97" s="69">
        <f>SUM(G98)</f>
        <v>15000000</v>
      </c>
      <c r="H97" s="133">
        <f>SUM(H98)</f>
        <v>15000000</v>
      </c>
    </row>
    <row r="98" spans="1:8" ht="15.75" customHeight="1">
      <c r="A98" s="102" t="s">
        <v>473</v>
      </c>
      <c r="B98" s="21"/>
      <c r="C98" s="21" t="s">
        <v>367</v>
      </c>
      <c r="D98" s="47"/>
      <c r="E98" s="201" t="s">
        <v>368</v>
      </c>
      <c r="F98" s="201"/>
      <c r="G98" s="69">
        <v>15000000</v>
      </c>
      <c r="H98" s="133">
        <v>15000000</v>
      </c>
    </row>
    <row r="99" spans="1:8" ht="15.75" customHeight="1">
      <c r="A99" s="102" t="s">
        <v>474</v>
      </c>
      <c r="B99" s="21"/>
      <c r="C99" s="21"/>
      <c r="D99" s="47"/>
      <c r="E99" s="94"/>
      <c r="F99" s="94"/>
      <c r="G99" s="69"/>
      <c r="H99" s="133"/>
    </row>
    <row r="100" spans="1:8" ht="15.75" customHeight="1">
      <c r="A100" s="102" t="s">
        <v>475</v>
      </c>
      <c r="B100" s="192" t="s">
        <v>110</v>
      </c>
      <c r="C100" s="192"/>
      <c r="D100" s="192"/>
      <c r="E100" s="192"/>
      <c r="F100" s="192"/>
      <c r="G100" s="43">
        <f>G101</f>
        <v>38100000</v>
      </c>
      <c r="H100" s="134">
        <f>H101+H105</f>
        <v>152085759</v>
      </c>
    </row>
    <row r="101" spans="1:8" ht="15.75" customHeight="1">
      <c r="A101" s="102" t="s">
        <v>476</v>
      </c>
      <c r="B101" s="47" t="s">
        <v>8</v>
      </c>
      <c r="C101" s="47"/>
      <c r="D101" s="203" t="s">
        <v>9</v>
      </c>
      <c r="E101" s="203"/>
      <c r="F101" s="203"/>
      <c r="G101" s="69">
        <f>SUM(G102:G103)</f>
        <v>38100000</v>
      </c>
      <c r="H101" s="133">
        <f>SUM(H102:H104)</f>
        <v>62173959</v>
      </c>
    </row>
    <row r="102" spans="1:8" ht="15.75" customHeight="1">
      <c r="A102" s="102" t="s">
        <v>477</v>
      </c>
      <c r="B102" s="21"/>
      <c r="C102" s="21"/>
      <c r="D102" s="21" t="s">
        <v>47</v>
      </c>
      <c r="E102" s="201" t="s">
        <v>111</v>
      </c>
      <c r="F102" s="201"/>
      <c r="G102" s="69">
        <v>30000000</v>
      </c>
      <c r="H102" s="133">
        <v>30000000</v>
      </c>
    </row>
    <row r="103" spans="1:8" ht="15.75" customHeight="1">
      <c r="A103" s="102" t="s">
        <v>478</v>
      </c>
      <c r="B103" s="21"/>
      <c r="C103" s="21"/>
      <c r="D103" s="21" t="s">
        <v>49</v>
      </c>
      <c r="E103" s="201" t="s">
        <v>50</v>
      </c>
      <c r="F103" s="201"/>
      <c r="G103" s="69">
        <v>8100000</v>
      </c>
      <c r="H103" s="133">
        <v>8100000</v>
      </c>
    </row>
    <row r="104" spans="1:8" ht="15.75" customHeight="1">
      <c r="A104" s="102" t="s">
        <v>479</v>
      </c>
      <c r="B104" s="21"/>
      <c r="C104" s="21"/>
      <c r="D104" s="21" t="s">
        <v>321</v>
      </c>
      <c r="E104" s="201" t="s">
        <v>324</v>
      </c>
      <c r="F104" s="201"/>
      <c r="G104" s="69"/>
      <c r="H104" s="133">
        <f>16312109+7761850</f>
        <v>24073959</v>
      </c>
    </row>
    <row r="105" spans="1:8" ht="15.75" customHeight="1">
      <c r="A105" s="102" t="s">
        <v>480</v>
      </c>
      <c r="B105" s="47" t="s">
        <v>17</v>
      </c>
      <c r="C105" s="21"/>
      <c r="D105" s="203" t="s">
        <v>18</v>
      </c>
      <c r="E105" s="203"/>
      <c r="F105" s="203"/>
      <c r="G105" s="69"/>
      <c r="H105" s="135">
        <f>SUM(H106)</f>
        <v>89911800</v>
      </c>
    </row>
    <row r="106" spans="1:8" ht="15.75" customHeight="1">
      <c r="A106" s="102" t="s">
        <v>481</v>
      </c>
      <c r="B106" s="21"/>
      <c r="C106" s="21" t="s">
        <v>322</v>
      </c>
      <c r="D106" s="21"/>
      <c r="E106" s="210" t="s">
        <v>838</v>
      </c>
      <c r="F106" s="211"/>
      <c r="G106" s="69"/>
      <c r="H106" s="133">
        <v>89911800</v>
      </c>
    </row>
    <row r="107" spans="1:8" ht="15.75" customHeight="1">
      <c r="A107" s="102" t="s">
        <v>482</v>
      </c>
      <c r="B107" s="21"/>
      <c r="C107" s="21"/>
      <c r="D107" s="21"/>
      <c r="E107" s="21"/>
      <c r="F107" s="21"/>
      <c r="G107" s="69"/>
      <c r="H107" s="133"/>
    </row>
    <row r="108" spans="1:8" ht="15.75" customHeight="1">
      <c r="A108" s="102" t="s">
        <v>483</v>
      </c>
      <c r="B108" s="192" t="s">
        <v>112</v>
      </c>
      <c r="C108" s="192"/>
      <c r="D108" s="192"/>
      <c r="E108" s="192"/>
      <c r="F108" s="192"/>
      <c r="G108" s="43">
        <f>SUM(G109)</f>
        <v>88900</v>
      </c>
      <c r="H108" s="134">
        <f>SUM(H109)</f>
        <v>88900</v>
      </c>
    </row>
    <row r="109" spans="1:8" ht="15.75" customHeight="1">
      <c r="A109" s="102" t="s">
        <v>484</v>
      </c>
      <c r="B109" s="47" t="s">
        <v>8</v>
      </c>
      <c r="C109" s="47"/>
      <c r="D109" s="203" t="s">
        <v>9</v>
      </c>
      <c r="E109" s="203"/>
      <c r="F109" s="203"/>
      <c r="G109" s="69">
        <f>SUM(G110:G111)</f>
        <v>88900</v>
      </c>
      <c r="H109" s="133">
        <f>SUM(H110:H111)</f>
        <v>88900</v>
      </c>
    </row>
    <row r="110" spans="1:8" ht="15.75" customHeight="1">
      <c r="A110" s="102" t="s">
        <v>485</v>
      </c>
      <c r="B110" s="21"/>
      <c r="C110" s="21"/>
      <c r="D110" s="21" t="s">
        <v>47</v>
      </c>
      <c r="E110" s="201" t="s">
        <v>111</v>
      </c>
      <c r="F110" s="201"/>
      <c r="G110" s="69">
        <v>70000</v>
      </c>
      <c r="H110" s="133">
        <v>70000</v>
      </c>
    </row>
    <row r="111" spans="1:8" ht="15.75" customHeight="1">
      <c r="A111" s="102" t="s">
        <v>486</v>
      </c>
      <c r="B111" s="21"/>
      <c r="C111" s="21"/>
      <c r="D111" s="21" t="s">
        <v>49</v>
      </c>
      <c r="E111" s="201" t="s">
        <v>50</v>
      </c>
      <c r="F111" s="201"/>
      <c r="G111" s="69">
        <v>18900</v>
      </c>
      <c r="H111" s="133">
        <v>18900</v>
      </c>
    </row>
    <row r="112" spans="1:8" ht="15.75" customHeight="1">
      <c r="A112" s="102" t="s">
        <v>487</v>
      </c>
      <c r="B112" s="21"/>
      <c r="C112" s="21"/>
      <c r="D112" s="21"/>
      <c r="E112" s="94"/>
      <c r="F112" s="94"/>
      <c r="G112" s="69"/>
      <c r="H112" s="133"/>
    </row>
    <row r="113" spans="1:8" ht="15.75" customHeight="1">
      <c r="A113" s="102" t="s">
        <v>488</v>
      </c>
      <c r="B113" s="192" t="s">
        <v>142</v>
      </c>
      <c r="C113" s="192"/>
      <c r="D113" s="192"/>
      <c r="E113" s="192"/>
      <c r="F113" s="192"/>
      <c r="G113" s="43">
        <f>G114</f>
        <v>38100</v>
      </c>
      <c r="H113" s="134">
        <f>H114</f>
        <v>38100</v>
      </c>
    </row>
    <row r="114" spans="1:8" ht="15.75" customHeight="1">
      <c r="A114" s="102" t="s">
        <v>489</v>
      </c>
      <c r="B114" s="47" t="s">
        <v>8</v>
      </c>
      <c r="C114" s="47"/>
      <c r="D114" s="203" t="s">
        <v>9</v>
      </c>
      <c r="E114" s="203"/>
      <c r="F114" s="203"/>
      <c r="G114" s="69">
        <f>SUM(G115:G116)</f>
        <v>38100</v>
      </c>
      <c r="H114" s="133">
        <f>SUM(H115:H116)</f>
        <v>38100</v>
      </c>
    </row>
    <row r="115" spans="1:8" ht="15.75" customHeight="1">
      <c r="A115" s="102" t="s">
        <v>490</v>
      </c>
      <c r="B115" s="21"/>
      <c r="C115" s="21"/>
      <c r="D115" s="21" t="s">
        <v>47</v>
      </c>
      <c r="E115" s="201" t="s">
        <v>111</v>
      </c>
      <c r="F115" s="201"/>
      <c r="G115" s="69">
        <v>30000</v>
      </c>
      <c r="H115" s="133">
        <v>30000</v>
      </c>
    </row>
    <row r="116" spans="1:8" ht="15.75" customHeight="1">
      <c r="A116" s="102" t="s">
        <v>491</v>
      </c>
      <c r="B116" s="21"/>
      <c r="C116" s="21"/>
      <c r="D116" s="21" t="s">
        <v>49</v>
      </c>
      <c r="E116" s="201" t="s">
        <v>50</v>
      </c>
      <c r="F116" s="201"/>
      <c r="G116" s="69">
        <v>8100</v>
      </c>
      <c r="H116" s="133">
        <v>8100</v>
      </c>
    </row>
    <row r="117" spans="1:8" ht="15.75" customHeight="1">
      <c r="A117" s="102" t="s">
        <v>492</v>
      </c>
      <c r="B117" s="21"/>
      <c r="C117" s="21"/>
      <c r="D117" s="208"/>
      <c r="E117" s="208"/>
      <c r="F117" s="208"/>
      <c r="G117" s="69"/>
      <c r="H117" s="133"/>
    </row>
    <row r="118" spans="1:8" ht="15.75" customHeight="1">
      <c r="A118" s="102" t="s">
        <v>493</v>
      </c>
      <c r="B118" s="124"/>
      <c r="C118" s="124"/>
      <c r="D118" s="124" t="s">
        <v>113</v>
      </c>
      <c r="E118" s="124"/>
      <c r="F118" s="124"/>
      <c r="G118" s="43">
        <f>G11+G41+G54+G77+G91+G100+G108+G23+G36+G73+G86+G113+G96</f>
        <v>484181501</v>
      </c>
      <c r="H118" s="134">
        <f>H11+H41+H54+H77+H91+H100+H108+H23+H36+H73+H86+H113+H96</f>
        <v>607831061</v>
      </c>
    </row>
    <row r="119" spans="1:8" ht="15.75" customHeight="1">
      <c r="A119" s="102" t="s">
        <v>494</v>
      </c>
      <c r="B119" s="21"/>
      <c r="C119" s="21"/>
      <c r="D119" s="47"/>
      <c r="E119" s="21"/>
      <c r="F119" s="21"/>
      <c r="G119" s="125"/>
      <c r="H119" s="142"/>
    </row>
    <row r="120" spans="1:8" ht="15.75" customHeight="1">
      <c r="A120" s="102" t="s">
        <v>495</v>
      </c>
      <c r="B120" s="47" t="s">
        <v>4</v>
      </c>
      <c r="C120" s="47"/>
      <c r="D120" s="203" t="s">
        <v>5</v>
      </c>
      <c r="E120" s="203"/>
      <c r="F120" s="203"/>
      <c r="G120" s="69">
        <f>G55++G78</f>
        <v>92784649</v>
      </c>
      <c r="H120" s="133">
        <f>H55++H78</f>
        <v>100268349</v>
      </c>
    </row>
    <row r="121" spans="1:8" ht="15.75" customHeight="1">
      <c r="A121" s="102" t="s">
        <v>496</v>
      </c>
      <c r="B121" s="47" t="s">
        <v>13</v>
      </c>
      <c r="C121" s="47"/>
      <c r="D121" s="203" t="s">
        <v>14</v>
      </c>
      <c r="E121" s="203"/>
      <c r="F121" s="203"/>
      <c r="G121" s="69">
        <f>G42+G97</f>
        <v>40000000</v>
      </c>
      <c r="H121" s="133">
        <f>H42+H97</f>
        <v>15000000</v>
      </c>
    </row>
    <row r="122" spans="1:8" ht="15.75" customHeight="1">
      <c r="A122" s="102" t="s">
        <v>497</v>
      </c>
      <c r="B122" s="47" t="s">
        <v>6</v>
      </c>
      <c r="C122" s="47"/>
      <c r="D122" s="203" t="s">
        <v>7</v>
      </c>
      <c r="E122" s="203"/>
      <c r="F122" s="203"/>
      <c r="G122" s="69">
        <f>G24+G12</f>
        <v>112265000</v>
      </c>
      <c r="H122" s="133">
        <f>H24+H12</f>
        <v>112265000</v>
      </c>
    </row>
    <row r="123" spans="1:8" ht="15.75" customHeight="1">
      <c r="A123" s="102" t="s">
        <v>498</v>
      </c>
      <c r="B123" s="47" t="s">
        <v>8</v>
      </c>
      <c r="C123" s="47"/>
      <c r="D123" s="203" t="s">
        <v>9</v>
      </c>
      <c r="E123" s="203"/>
      <c r="F123" s="203"/>
      <c r="G123" s="69">
        <f>G14+G44+G92+G101+G109+G37+G87+G114</f>
        <v>139061000</v>
      </c>
      <c r="H123" s="133">
        <f>H14+H44+H92+H101+H109+H37+H87+H114</f>
        <v>163134959</v>
      </c>
    </row>
    <row r="124" spans="1:8" ht="15.75" customHeight="1">
      <c r="A124" s="102" t="s">
        <v>499</v>
      </c>
      <c r="B124" s="47" t="s">
        <v>15</v>
      </c>
      <c r="C124" s="47"/>
      <c r="D124" s="203" t="s">
        <v>16</v>
      </c>
      <c r="E124" s="203"/>
      <c r="F124" s="203"/>
      <c r="G124" s="69">
        <f>G17</f>
        <v>600000</v>
      </c>
      <c r="H124" s="133">
        <f>H17+H50</f>
        <v>25600000</v>
      </c>
    </row>
    <row r="125" spans="1:8" ht="15.75" customHeight="1">
      <c r="A125" s="102" t="s">
        <v>500</v>
      </c>
      <c r="B125" s="47" t="s">
        <v>10</v>
      </c>
      <c r="C125" s="47"/>
      <c r="D125" s="203" t="s">
        <v>11</v>
      </c>
      <c r="E125" s="203"/>
      <c r="F125" s="203"/>
      <c r="G125" s="69">
        <f>G19</f>
        <v>200000</v>
      </c>
      <c r="H125" s="133">
        <f>H19</f>
        <v>864800</v>
      </c>
    </row>
    <row r="126" spans="1:8" ht="15.75" customHeight="1">
      <c r="A126" s="102" t="s">
        <v>501</v>
      </c>
      <c r="B126" s="47" t="s">
        <v>17</v>
      </c>
      <c r="C126" s="47"/>
      <c r="D126" s="203" t="s">
        <v>18</v>
      </c>
      <c r="E126" s="203"/>
      <c r="F126" s="203"/>
      <c r="G126" s="69"/>
      <c r="H126" s="133">
        <f>H105</f>
        <v>89911800</v>
      </c>
    </row>
    <row r="127" spans="1:8" ht="15.75" customHeight="1">
      <c r="A127" s="102" t="s">
        <v>502</v>
      </c>
      <c r="B127" s="47" t="s">
        <v>20</v>
      </c>
      <c r="C127" s="47"/>
      <c r="D127" s="203" t="s">
        <v>19</v>
      </c>
      <c r="E127" s="203"/>
      <c r="F127" s="203"/>
      <c r="G127" s="69">
        <f>G82+G75</f>
        <v>99270852</v>
      </c>
      <c r="H127" s="133">
        <f>H82+H75</f>
        <v>100786153</v>
      </c>
    </row>
    <row r="128" spans="1:8" ht="15.75" customHeight="1" thickBot="1">
      <c r="A128" s="143" t="s">
        <v>503</v>
      </c>
      <c r="B128" s="144"/>
      <c r="C128" s="144"/>
      <c r="D128" s="209" t="s">
        <v>113</v>
      </c>
      <c r="E128" s="209"/>
      <c r="F128" s="209"/>
      <c r="G128" s="145">
        <f>SUM(G120:G127)</f>
        <v>484181501</v>
      </c>
      <c r="H128" s="146">
        <f>SUM(H120:H127)</f>
        <v>607831061</v>
      </c>
    </row>
  </sheetData>
  <sheetProtection selectLockedCells="1" selectUnlockedCells="1"/>
  <mergeCells count="95">
    <mergeCell ref="A1:H1"/>
    <mergeCell ref="A2:H2"/>
    <mergeCell ref="H9:H10"/>
    <mergeCell ref="A9:A10"/>
    <mergeCell ref="B8:F8"/>
    <mergeCell ref="A5:H5"/>
    <mergeCell ref="A4:H4"/>
    <mergeCell ref="A6:H6"/>
    <mergeCell ref="G9:G10"/>
    <mergeCell ref="D126:F126"/>
    <mergeCell ref="D127:F127"/>
    <mergeCell ref="D123:F123"/>
    <mergeCell ref="D124:F124"/>
    <mergeCell ref="E115:F115"/>
    <mergeCell ref="E116:F116"/>
    <mergeCell ref="E102:F102"/>
    <mergeCell ref="E103:F103"/>
    <mergeCell ref="B108:F108"/>
    <mergeCell ref="D109:F109"/>
    <mergeCell ref="E110:F110"/>
    <mergeCell ref="D125:F125"/>
    <mergeCell ref="E104:F104"/>
    <mergeCell ref="D105:F105"/>
    <mergeCell ref="E106:F106"/>
    <mergeCell ref="D128:F128"/>
    <mergeCell ref="E111:F111"/>
    <mergeCell ref="D120:F120"/>
    <mergeCell ref="D121:F121"/>
    <mergeCell ref="D122:F122"/>
    <mergeCell ref="B100:F100"/>
    <mergeCell ref="D101:F101"/>
    <mergeCell ref="B113:F113"/>
    <mergeCell ref="D117:F117"/>
    <mergeCell ref="D114:F114"/>
    <mergeCell ref="E88:F88"/>
    <mergeCell ref="E89:F89"/>
    <mergeCell ref="B91:F91"/>
    <mergeCell ref="D92:F92"/>
    <mergeCell ref="E93:F93"/>
    <mergeCell ref="E94:F94"/>
    <mergeCell ref="E83:F83"/>
    <mergeCell ref="B85:F85"/>
    <mergeCell ref="B86:F86"/>
    <mergeCell ref="D87:F87"/>
    <mergeCell ref="B73:F73"/>
    <mergeCell ref="D74:F74"/>
    <mergeCell ref="B76:F76"/>
    <mergeCell ref="E75:F75"/>
    <mergeCell ref="E79:F79"/>
    <mergeCell ref="D82:F82"/>
    <mergeCell ref="E69:F69"/>
    <mergeCell ref="B72:F72"/>
    <mergeCell ref="B54:F54"/>
    <mergeCell ref="D55:F55"/>
    <mergeCell ref="E56:F56"/>
    <mergeCell ref="E57:F57"/>
    <mergeCell ref="E65:F65"/>
    <mergeCell ref="E49:F49"/>
    <mergeCell ref="E66:F66"/>
    <mergeCell ref="E67:F67"/>
    <mergeCell ref="E51:F51"/>
    <mergeCell ref="D50:F50"/>
    <mergeCell ref="E68:F68"/>
    <mergeCell ref="B36:F36"/>
    <mergeCell ref="D42:F42"/>
    <mergeCell ref="D44:F44"/>
    <mergeCell ref="E45:F45"/>
    <mergeCell ref="E43:F43"/>
    <mergeCell ref="E48:F48"/>
    <mergeCell ref="B11:F11"/>
    <mergeCell ref="B9:F10"/>
    <mergeCell ref="E18:F18"/>
    <mergeCell ref="E16:F16"/>
    <mergeCell ref="D17:F17"/>
    <mergeCell ref="B23:F23"/>
    <mergeCell ref="C12:F12"/>
    <mergeCell ref="D13:F13"/>
    <mergeCell ref="D14:F14"/>
    <mergeCell ref="E15:F15"/>
    <mergeCell ref="B96:F96"/>
    <mergeCell ref="D97:F97"/>
    <mergeCell ref="E25:F25"/>
    <mergeCell ref="D19:F19"/>
    <mergeCell ref="E21:F21"/>
    <mergeCell ref="E20:F20"/>
    <mergeCell ref="E98:F98"/>
    <mergeCell ref="B77:F77"/>
    <mergeCell ref="D78:F78"/>
    <mergeCell ref="D24:F24"/>
    <mergeCell ref="E28:F28"/>
    <mergeCell ref="D37:F37"/>
    <mergeCell ref="B41:F41"/>
    <mergeCell ref="E29:F29"/>
    <mergeCell ref="E31:F31"/>
    <mergeCell ref="E33:F33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1" r:id="rId1"/>
  <rowBreaks count="1" manualBreakCount="1">
    <brk id="7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60"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4.7109375" style="1" customWidth="1"/>
    <col min="4" max="4" width="7.00390625" style="1" customWidth="1"/>
    <col min="5" max="5" width="4.421875" style="1" customWidth="1"/>
    <col min="6" max="6" width="48.8515625" style="1" bestFit="1" customWidth="1"/>
    <col min="7" max="7" width="10.28125" style="1" customWidth="1"/>
    <col min="8" max="8" width="13.28125" style="1" customWidth="1"/>
    <col min="9" max="9" width="15.00390625" style="1" customWidth="1"/>
    <col min="10" max="16384" width="9.140625" style="1" customWidth="1"/>
  </cols>
  <sheetData>
    <row r="1" spans="1:9" ht="15.75">
      <c r="A1" s="212" t="s">
        <v>358</v>
      </c>
      <c r="B1" s="212"/>
      <c r="C1" s="212"/>
      <c r="D1" s="212"/>
      <c r="E1" s="212"/>
      <c r="F1" s="212"/>
      <c r="G1" s="212"/>
      <c r="H1" s="212"/>
      <c r="I1" s="212"/>
    </row>
    <row r="2" spans="1:9" ht="15.75" customHeight="1">
      <c r="A2" s="212" t="s">
        <v>845</v>
      </c>
      <c r="B2" s="212"/>
      <c r="C2" s="212"/>
      <c r="D2" s="212"/>
      <c r="E2" s="212"/>
      <c r="F2" s="212"/>
      <c r="G2" s="212"/>
      <c r="H2" s="212"/>
      <c r="I2" s="212"/>
    </row>
    <row r="3" spans="2:7" ht="15.75" customHeight="1">
      <c r="B3" s="10"/>
      <c r="C3" s="10"/>
      <c r="D3" s="10"/>
      <c r="E3" s="10"/>
      <c r="F3" s="2"/>
      <c r="G3" s="2"/>
    </row>
    <row r="4" spans="2:8" ht="15.75" customHeight="1">
      <c r="B4" s="214" t="s">
        <v>0</v>
      </c>
      <c r="C4" s="214"/>
      <c r="D4" s="214"/>
      <c r="E4" s="214"/>
      <c r="F4" s="214"/>
      <c r="G4" s="214"/>
      <c r="H4" s="214"/>
    </row>
    <row r="5" spans="2:8" ht="15.75" customHeight="1">
      <c r="B5" s="214" t="s">
        <v>813</v>
      </c>
      <c r="C5" s="214"/>
      <c r="D5" s="214"/>
      <c r="E5" s="214"/>
      <c r="F5" s="214"/>
      <c r="G5" s="214"/>
      <c r="H5" s="214"/>
    </row>
    <row r="6" spans="2:8" ht="15.75" customHeight="1">
      <c r="B6" s="214" t="s">
        <v>114</v>
      </c>
      <c r="C6" s="214"/>
      <c r="D6" s="214"/>
      <c r="E6" s="214"/>
      <c r="F6" s="214"/>
      <c r="G6" s="214"/>
      <c r="H6" s="214"/>
    </row>
    <row r="7" spans="2:8" ht="15.75" customHeight="1" thickBot="1">
      <c r="B7" s="9"/>
      <c r="C7" s="9"/>
      <c r="D7" s="9"/>
      <c r="E7" s="9"/>
      <c r="F7" s="9"/>
      <c r="G7" s="9"/>
      <c r="H7" s="9"/>
    </row>
    <row r="8" spans="1:9" ht="15.75" customHeight="1">
      <c r="A8" s="95" t="s">
        <v>380</v>
      </c>
      <c r="B8" s="218" t="s">
        <v>381</v>
      </c>
      <c r="C8" s="218"/>
      <c r="D8" s="218"/>
      <c r="E8" s="218"/>
      <c r="F8" s="218"/>
      <c r="G8" s="218"/>
      <c r="H8" s="107" t="s">
        <v>382</v>
      </c>
      <c r="I8" s="97" t="s">
        <v>383</v>
      </c>
    </row>
    <row r="9" spans="1:9" ht="15.75" customHeight="1">
      <c r="A9" s="197" t="s">
        <v>385</v>
      </c>
      <c r="B9" s="217" t="s">
        <v>115</v>
      </c>
      <c r="C9" s="217"/>
      <c r="D9" s="217"/>
      <c r="E9" s="217"/>
      <c r="F9" s="217"/>
      <c r="G9" s="217"/>
      <c r="H9" s="216" t="s">
        <v>2</v>
      </c>
      <c r="I9" s="222" t="s">
        <v>808</v>
      </c>
    </row>
    <row r="10" spans="1:9" ht="15.75" customHeight="1">
      <c r="A10" s="197"/>
      <c r="B10" s="217"/>
      <c r="C10" s="217"/>
      <c r="D10" s="217"/>
      <c r="E10" s="217"/>
      <c r="F10" s="217"/>
      <c r="G10" s="217"/>
      <c r="H10" s="216"/>
      <c r="I10" s="222"/>
    </row>
    <row r="11" spans="1:9" ht="15.75" customHeight="1">
      <c r="A11" s="197"/>
      <c r="B11" s="217"/>
      <c r="C11" s="217"/>
      <c r="D11" s="217"/>
      <c r="E11" s="217"/>
      <c r="F11" s="217"/>
      <c r="G11" s="217"/>
      <c r="H11" s="216"/>
      <c r="I11" s="222"/>
    </row>
    <row r="12" spans="1:9" ht="15.75" customHeight="1">
      <c r="A12" s="108" t="s">
        <v>386</v>
      </c>
      <c r="B12" s="124" t="s">
        <v>4</v>
      </c>
      <c r="C12" s="124"/>
      <c r="D12" s="124" t="s">
        <v>5</v>
      </c>
      <c r="E12" s="124"/>
      <c r="F12" s="124"/>
      <c r="G12" s="147"/>
      <c r="H12" s="119">
        <f>H13+H29</f>
        <v>92784649</v>
      </c>
      <c r="I12" s="128">
        <f>I13+I29</f>
        <v>100268349</v>
      </c>
    </row>
    <row r="13" spans="1:9" ht="15.75" customHeight="1">
      <c r="A13" s="108" t="s">
        <v>387</v>
      </c>
      <c r="B13" s="21"/>
      <c r="C13" s="47" t="s">
        <v>84</v>
      </c>
      <c r="D13" s="47"/>
      <c r="E13" s="203" t="s">
        <v>85</v>
      </c>
      <c r="F13" s="203"/>
      <c r="G13" s="21"/>
      <c r="H13" s="22">
        <f>H14+H22+H23+H24+H25+H26</f>
        <v>82609151</v>
      </c>
      <c r="I13" s="135">
        <f>I14+I22+I23+I24+I25+I26</f>
        <v>90092851</v>
      </c>
    </row>
    <row r="14" spans="1:9" ht="15.75" customHeight="1">
      <c r="A14" s="108" t="s">
        <v>388</v>
      </c>
      <c r="B14" s="47"/>
      <c r="C14" s="47"/>
      <c r="D14" s="21" t="s">
        <v>86</v>
      </c>
      <c r="E14" s="201" t="s">
        <v>87</v>
      </c>
      <c r="F14" s="201"/>
      <c r="G14" s="21"/>
      <c r="H14" s="69">
        <f>SUM(H15:H21)</f>
        <v>35262175</v>
      </c>
      <c r="I14" s="133">
        <f>SUM(I15:I21)</f>
        <v>35262175</v>
      </c>
    </row>
    <row r="15" spans="1:9" ht="15.75" customHeight="1">
      <c r="A15" s="108" t="s">
        <v>389</v>
      </c>
      <c r="B15" s="47"/>
      <c r="C15" s="47"/>
      <c r="D15" s="21"/>
      <c r="E15" s="21"/>
      <c r="F15" s="21" t="s">
        <v>116</v>
      </c>
      <c r="G15" s="21"/>
      <c r="H15" s="69">
        <f>'2. Bevétel funkció'!G58</f>
        <v>5972400</v>
      </c>
      <c r="I15" s="133">
        <f>'2. Bevétel funkció'!H58</f>
        <v>5972400</v>
      </c>
    </row>
    <row r="16" spans="1:9" ht="15.75" customHeight="1">
      <c r="A16" s="108" t="s">
        <v>390</v>
      </c>
      <c r="B16" s="47"/>
      <c r="C16" s="47"/>
      <c r="D16" s="21"/>
      <c r="E16" s="21"/>
      <c r="F16" s="21" t="s">
        <v>117</v>
      </c>
      <c r="G16" s="21"/>
      <c r="H16" s="69">
        <f>'2. Bevétel funkció'!G59</f>
        <v>14816000</v>
      </c>
      <c r="I16" s="133">
        <f>'2. Bevétel funkció'!H59</f>
        <v>14816000</v>
      </c>
    </row>
    <row r="17" spans="1:9" ht="15.75" customHeight="1">
      <c r="A17" s="108" t="s">
        <v>391</v>
      </c>
      <c r="B17" s="47"/>
      <c r="C17" s="47"/>
      <c r="D17" s="21"/>
      <c r="E17" s="21"/>
      <c r="F17" s="21" t="s">
        <v>118</v>
      </c>
      <c r="G17" s="21"/>
      <c r="H17" s="69">
        <f>'2. Bevétel funkció'!G60</f>
        <v>812130</v>
      </c>
      <c r="I17" s="133">
        <f>'2. Bevétel funkció'!H60</f>
        <v>812130</v>
      </c>
    </row>
    <row r="18" spans="1:9" ht="15.75" customHeight="1">
      <c r="A18" s="108" t="s">
        <v>392</v>
      </c>
      <c r="B18" s="47"/>
      <c r="C18" s="47"/>
      <c r="D18" s="21"/>
      <c r="E18" s="21"/>
      <c r="F18" s="21" t="s">
        <v>119</v>
      </c>
      <c r="G18" s="21"/>
      <c r="H18" s="69">
        <f>'2. Bevétel funkció'!G61</f>
        <v>3704775</v>
      </c>
      <c r="I18" s="133">
        <f>'2. Bevétel funkció'!H61</f>
        <v>3704775</v>
      </c>
    </row>
    <row r="19" spans="1:9" ht="15.75" customHeight="1">
      <c r="A19" s="108" t="s">
        <v>393</v>
      </c>
      <c r="B19" s="47"/>
      <c r="C19" s="47"/>
      <c r="D19" s="21"/>
      <c r="E19" s="21"/>
      <c r="F19" s="21" t="s">
        <v>349</v>
      </c>
      <c r="G19" s="21"/>
      <c r="H19" s="69">
        <f>'2. Bevétel funkció'!G62</f>
        <v>214200</v>
      </c>
      <c r="I19" s="133">
        <f>'2. Bevétel funkció'!H62</f>
        <v>214200</v>
      </c>
    </row>
    <row r="20" spans="1:9" ht="15.75" customHeight="1">
      <c r="A20" s="108" t="s">
        <v>394</v>
      </c>
      <c r="B20" s="47"/>
      <c r="C20" s="47"/>
      <c r="D20" s="21"/>
      <c r="E20" s="21"/>
      <c r="F20" s="21" t="s">
        <v>336</v>
      </c>
      <c r="G20" s="21"/>
      <c r="H20" s="69">
        <f>'2. Bevétel funkció'!G63</f>
        <v>8000000</v>
      </c>
      <c r="I20" s="133">
        <f>'2. Bevétel funkció'!H63</f>
        <v>8000000</v>
      </c>
    </row>
    <row r="21" spans="1:9" ht="15.75" customHeight="1">
      <c r="A21" s="108" t="s">
        <v>395</v>
      </c>
      <c r="B21" s="47"/>
      <c r="C21" s="47"/>
      <c r="D21" s="21"/>
      <c r="E21" s="21"/>
      <c r="F21" s="21" t="s">
        <v>372</v>
      </c>
      <c r="G21" s="21"/>
      <c r="H21" s="69">
        <f>'2. Bevétel funkció'!G64</f>
        <v>1742670</v>
      </c>
      <c r="I21" s="133">
        <f>'2. Bevétel funkció'!H64</f>
        <v>1742670</v>
      </c>
    </row>
    <row r="22" spans="1:9" ht="30.75" customHeight="1">
      <c r="A22" s="108" t="s">
        <v>396</v>
      </c>
      <c r="B22" s="21"/>
      <c r="C22" s="21"/>
      <c r="D22" s="21" t="s">
        <v>88</v>
      </c>
      <c r="E22" s="219" t="s">
        <v>120</v>
      </c>
      <c r="F22" s="219"/>
      <c r="G22" s="21"/>
      <c r="H22" s="69">
        <f>'2. Bevétel funkció'!G65</f>
        <v>18296870</v>
      </c>
      <c r="I22" s="133">
        <f>'2. Bevétel funkció'!H65</f>
        <v>18296870</v>
      </c>
    </row>
    <row r="23" spans="1:9" ht="31.5" customHeight="1">
      <c r="A23" s="108" t="s">
        <v>397</v>
      </c>
      <c r="B23" s="21"/>
      <c r="C23" s="21"/>
      <c r="D23" s="21" t="s">
        <v>332</v>
      </c>
      <c r="E23" s="219" t="s">
        <v>350</v>
      </c>
      <c r="F23" s="219"/>
      <c r="G23" s="21"/>
      <c r="H23" s="69">
        <f>'2. Bevétel funkció'!G66</f>
        <v>5726000</v>
      </c>
      <c r="I23" s="133">
        <f>'2. Bevétel funkció'!H66</f>
        <v>5726000</v>
      </c>
    </row>
    <row r="24" spans="1:9" ht="15.75" customHeight="1">
      <c r="A24" s="108" t="s">
        <v>398</v>
      </c>
      <c r="B24" s="21"/>
      <c r="C24" s="21"/>
      <c r="D24" s="21" t="s">
        <v>331</v>
      </c>
      <c r="E24" s="201" t="s">
        <v>330</v>
      </c>
      <c r="F24" s="201"/>
      <c r="G24" s="21"/>
      <c r="H24" s="69">
        <f>'2. Bevétel funkció'!G67</f>
        <v>16741788</v>
      </c>
      <c r="I24" s="133">
        <f>'2. Bevétel funkció'!H67</f>
        <v>16741788</v>
      </c>
    </row>
    <row r="25" spans="1:9" ht="15.75" customHeight="1">
      <c r="A25" s="108" t="s">
        <v>399</v>
      </c>
      <c r="B25" s="21"/>
      <c r="C25" s="21"/>
      <c r="D25" s="21" t="s">
        <v>90</v>
      </c>
      <c r="E25" s="201" t="s">
        <v>91</v>
      </c>
      <c r="F25" s="201"/>
      <c r="G25" s="21"/>
      <c r="H25" s="69">
        <f>'2. Bevétel funkció'!G68</f>
        <v>2666665</v>
      </c>
      <c r="I25" s="133">
        <f>'2. Bevétel funkció'!H68</f>
        <v>2666665</v>
      </c>
    </row>
    <row r="26" spans="1:9" ht="15.75" customHeight="1">
      <c r="A26" s="108" t="s">
        <v>400</v>
      </c>
      <c r="B26" s="21"/>
      <c r="C26" s="21"/>
      <c r="D26" s="21" t="s">
        <v>342</v>
      </c>
      <c r="E26" s="201" t="s">
        <v>343</v>
      </c>
      <c r="F26" s="201"/>
      <c r="G26" s="21"/>
      <c r="H26" s="69">
        <f>SUM(H27:H27)</f>
        <v>3915653</v>
      </c>
      <c r="I26" s="133">
        <f>SUM(I27:I28)</f>
        <v>11399353</v>
      </c>
    </row>
    <row r="27" spans="1:9" ht="15.75" customHeight="1">
      <c r="A27" s="108" t="s">
        <v>401</v>
      </c>
      <c r="B27" s="21"/>
      <c r="C27" s="21"/>
      <c r="D27" s="21"/>
      <c r="E27" s="94"/>
      <c r="F27" s="94" t="s">
        <v>353</v>
      </c>
      <c r="G27" s="21"/>
      <c r="H27" s="69">
        <f>'2. Bevétel funkció'!G70</f>
        <v>3915653</v>
      </c>
      <c r="I27" s="133">
        <f>'2. Bevétel funkció'!H70</f>
        <v>3915653</v>
      </c>
    </row>
    <row r="28" spans="1:9" ht="15.75" customHeight="1">
      <c r="A28" s="108"/>
      <c r="B28" s="21"/>
      <c r="C28" s="21"/>
      <c r="D28" s="21"/>
      <c r="E28" s="94"/>
      <c r="F28" s="94" t="s">
        <v>839</v>
      </c>
      <c r="G28" s="21"/>
      <c r="H28" s="69"/>
      <c r="I28" s="133">
        <f>'2. Bevétel funkció'!H71</f>
        <v>7483700</v>
      </c>
    </row>
    <row r="29" spans="1:9" ht="15.75" customHeight="1">
      <c r="A29" s="108" t="s">
        <v>402</v>
      </c>
      <c r="B29" s="21"/>
      <c r="C29" s="47" t="s">
        <v>46</v>
      </c>
      <c r="D29" s="47"/>
      <c r="E29" s="203" t="s">
        <v>97</v>
      </c>
      <c r="F29" s="203"/>
      <c r="G29" s="21"/>
      <c r="H29" s="22">
        <f>SUM(H30:H31)</f>
        <v>10175498</v>
      </c>
      <c r="I29" s="135">
        <f>SUM(I30:I31)</f>
        <v>10175498</v>
      </c>
    </row>
    <row r="30" spans="1:9" ht="15.75" customHeight="1">
      <c r="A30" s="108" t="s">
        <v>403</v>
      </c>
      <c r="B30" s="21"/>
      <c r="C30" s="21"/>
      <c r="D30" s="21"/>
      <c r="E30" s="201" t="s">
        <v>351</v>
      </c>
      <c r="F30" s="201"/>
      <c r="G30" s="21"/>
      <c r="H30" s="69">
        <f>'2. Bevétel funkció'!G80</f>
        <v>3107498</v>
      </c>
      <c r="I30" s="133">
        <f>'2. Bevétel funkció'!H80</f>
        <v>3107498</v>
      </c>
    </row>
    <row r="31" spans="1:9" ht="15.75" customHeight="1">
      <c r="A31" s="108" t="s">
        <v>404</v>
      </c>
      <c r="B31" s="21"/>
      <c r="C31" s="21"/>
      <c r="D31" s="21"/>
      <c r="E31" s="201" t="s">
        <v>352</v>
      </c>
      <c r="F31" s="201"/>
      <c r="G31" s="21"/>
      <c r="H31" s="69">
        <f>'2. Bevétel funkció'!G81</f>
        <v>7068000</v>
      </c>
      <c r="I31" s="133">
        <f>'2. Bevétel funkció'!H81</f>
        <v>7068000</v>
      </c>
    </row>
    <row r="32" spans="1:9" ht="15.75" customHeight="1">
      <c r="A32" s="108" t="s">
        <v>405</v>
      </c>
      <c r="B32" s="21"/>
      <c r="C32" s="21"/>
      <c r="D32" s="21"/>
      <c r="E32" s="21"/>
      <c r="F32" s="21"/>
      <c r="G32" s="21"/>
      <c r="H32" s="69"/>
      <c r="I32" s="133"/>
    </row>
    <row r="33" spans="1:9" ht="15.75" customHeight="1">
      <c r="A33" s="108" t="s">
        <v>406</v>
      </c>
      <c r="B33" s="124" t="s">
        <v>13</v>
      </c>
      <c r="C33" s="124"/>
      <c r="D33" s="202" t="s">
        <v>14</v>
      </c>
      <c r="E33" s="202"/>
      <c r="F33" s="202"/>
      <c r="G33" s="124"/>
      <c r="H33" s="43">
        <f>H34</f>
        <v>40000000</v>
      </c>
      <c r="I33" s="134">
        <f>I34</f>
        <v>15000000</v>
      </c>
    </row>
    <row r="34" spans="1:9" ht="15.75" customHeight="1">
      <c r="A34" s="108" t="s">
        <v>407</v>
      </c>
      <c r="B34" s="21"/>
      <c r="C34" s="47" t="s">
        <v>92</v>
      </c>
      <c r="D34" s="47"/>
      <c r="E34" s="201" t="s">
        <v>121</v>
      </c>
      <c r="F34" s="201"/>
      <c r="G34" s="21"/>
      <c r="H34" s="44">
        <f>'2. Bevétel funkció'!G121</f>
        <v>40000000</v>
      </c>
      <c r="I34" s="136">
        <f>'2. Bevétel funkció'!H121</f>
        <v>15000000</v>
      </c>
    </row>
    <row r="35" spans="1:9" ht="15.75" customHeight="1">
      <c r="A35" s="108" t="s">
        <v>408</v>
      </c>
      <c r="B35" s="21"/>
      <c r="C35" s="21"/>
      <c r="D35" s="21"/>
      <c r="E35" s="21"/>
      <c r="F35" s="21"/>
      <c r="G35" s="21"/>
      <c r="H35" s="44"/>
      <c r="I35" s="136"/>
    </row>
    <row r="36" spans="1:9" ht="15.75" customHeight="1">
      <c r="A36" s="108" t="s">
        <v>409</v>
      </c>
      <c r="B36" s="124" t="s">
        <v>6</v>
      </c>
      <c r="C36" s="124"/>
      <c r="D36" s="202" t="s">
        <v>7</v>
      </c>
      <c r="E36" s="202"/>
      <c r="F36" s="202"/>
      <c r="G36" s="124"/>
      <c r="H36" s="43">
        <f>H37+H40+H45</f>
        <v>112265000</v>
      </c>
      <c r="I36" s="134">
        <f>I37+I40+I45</f>
        <v>112265000</v>
      </c>
    </row>
    <row r="37" spans="1:9" ht="15.75" customHeight="1">
      <c r="A37" s="108" t="s">
        <v>410</v>
      </c>
      <c r="B37" s="21"/>
      <c r="C37" s="47" t="s">
        <v>58</v>
      </c>
      <c r="D37" s="47"/>
      <c r="E37" s="203" t="s">
        <v>59</v>
      </c>
      <c r="F37" s="203"/>
      <c r="G37" s="21"/>
      <c r="H37" s="22">
        <f>SUM(H38:H39)</f>
        <v>62000000</v>
      </c>
      <c r="I37" s="135">
        <f>SUM(I38:I39)</f>
        <v>62000000</v>
      </c>
    </row>
    <row r="38" spans="1:9" ht="15.75" customHeight="1">
      <c r="A38" s="108" t="s">
        <v>411</v>
      </c>
      <c r="B38" s="21"/>
      <c r="C38" s="21"/>
      <c r="D38" s="21" t="s">
        <v>60</v>
      </c>
      <c r="E38" s="21"/>
      <c r="F38" s="21" t="s">
        <v>61</v>
      </c>
      <c r="G38" s="21"/>
      <c r="H38" s="69">
        <f>'2. Bevétel funkció'!G26</f>
        <v>50000000</v>
      </c>
      <c r="I38" s="133">
        <f>'2. Bevétel funkció'!H26</f>
        <v>50000000</v>
      </c>
    </row>
    <row r="39" spans="1:9" ht="15.75" customHeight="1">
      <c r="A39" s="108" t="s">
        <v>412</v>
      </c>
      <c r="B39" s="47"/>
      <c r="C39" s="47"/>
      <c r="D39" s="21" t="s">
        <v>62</v>
      </c>
      <c r="E39" s="47"/>
      <c r="F39" s="21" t="s">
        <v>63</v>
      </c>
      <c r="G39" s="21"/>
      <c r="H39" s="69">
        <f>'2. Bevétel funkció'!G27</f>
        <v>12000000</v>
      </c>
      <c r="I39" s="133">
        <f>'2. Bevétel funkció'!H27</f>
        <v>12000000</v>
      </c>
    </row>
    <row r="40" spans="1:9" ht="15.75" customHeight="1">
      <c r="A40" s="108" t="s">
        <v>413</v>
      </c>
      <c r="B40" s="47"/>
      <c r="C40" s="47" t="s">
        <v>64</v>
      </c>
      <c r="D40" s="47"/>
      <c r="E40" s="203" t="s">
        <v>65</v>
      </c>
      <c r="F40" s="203"/>
      <c r="G40" s="21"/>
      <c r="H40" s="22">
        <f>H41+H43</f>
        <v>38765000</v>
      </c>
      <c r="I40" s="135">
        <f>I41+I43</f>
        <v>38765000</v>
      </c>
    </row>
    <row r="41" spans="1:9" ht="15.75" customHeight="1">
      <c r="A41" s="108" t="s">
        <v>414</v>
      </c>
      <c r="B41" s="47"/>
      <c r="C41" s="21"/>
      <c r="D41" s="21" t="s">
        <v>66</v>
      </c>
      <c r="E41" s="201" t="s">
        <v>67</v>
      </c>
      <c r="F41" s="201"/>
      <c r="G41" s="21"/>
      <c r="H41" s="69">
        <f>H42</f>
        <v>18765000</v>
      </c>
      <c r="I41" s="133">
        <f>I42</f>
        <v>18765000</v>
      </c>
    </row>
    <row r="42" spans="1:9" ht="15.75" customHeight="1">
      <c r="A42" s="108" t="s">
        <v>415</v>
      </c>
      <c r="B42" s="47"/>
      <c r="C42" s="21"/>
      <c r="D42" s="21"/>
      <c r="E42" s="21"/>
      <c r="F42" s="21" t="s">
        <v>68</v>
      </c>
      <c r="G42" s="21"/>
      <c r="H42" s="69">
        <f>'2. Bevétel funkció'!G30</f>
        <v>18765000</v>
      </c>
      <c r="I42" s="133">
        <f>'2. Bevétel funkció'!H30</f>
        <v>18765000</v>
      </c>
    </row>
    <row r="43" spans="1:9" ht="15.75" customHeight="1">
      <c r="A43" s="108" t="s">
        <v>416</v>
      </c>
      <c r="B43" s="47"/>
      <c r="C43" s="21"/>
      <c r="D43" s="21" t="s">
        <v>69</v>
      </c>
      <c r="E43" s="201" t="s">
        <v>70</v>
      </c>
      <c r="F43" s="201"/>
      <c r="G43" s="21"/>
      <c r="H43" s="69">
        <f>SUM(H44:H44)</f>
        <v>20000000</v>
      </c>
      <c r="I43" s="133">
        <f>SUM(I44:I44)</f>
        <v>20000000</v>
      </c>
    </row>
    <row r="44" spans="1:9" ht="15.75" customHeight="1">
      <c r="A44" s="108" t="s">
        <v>417</v>
      </c>
      <c r="B44" s="47"/>
      <c r="C44" s="21"/>
      <c r="D44" s="21"/>
      <c r="E44" s="21"/>
      <c r="F44" s="21" t="s">
        <v>71</v>
      </c>
      <c r="G44" s="21"/>
      <c r="H44" s="69">
        <f>'2. Bevétel funkció'!G32</f>
        <v>20000000</v>
      </c>
      <c r="I44" s="133">
        <f>'2. Bevétel funkció'!H32</f>
        <v>20000000</v>
      </c>
    </row>
    <row r="45" spans="1:9" ht="15.75" customHeight="1">
      <c r="A45" s="108" t="s">
        <v>418</v>
      </c>
      <c r="B45" s="21"/>
      <c r="C45" s="47" t="s">
        <v>72</v>
      </c>
      <c r="D45" s="21"/>
      <c r="E45" s="203" t="s">
        <v>73</v>
      </c>
      <c r="F45" s="203"/>
      <c r="G45" s="21"/>
      <c r="H45" s="22">
        <f>H46</f>
        <v>11500000</v>
      </c>
      <c r="I45" s="135">
        <f>I46</f>
        <v>11500000</v>
      </c>
    </row>
    <row r="46" spans="1:9" ht="15.75" customHeight="1">
      <c r="A46" s="108" t="s">
        <v>419</v>
      </c>
      <c r="B46" s="21"/>
      <c r="C46" s="21"/>
      <c r="D46" s="21" t="s">
        <v>122</v>
      </c>
      <c r="E46" s="21"/>
      <c r="F46" s="21" t="s">
        <v>75</v>
      </c>
      <c r="G46" s="21"/>
      <c r="H46" s="69">
        <f>'2. Bevétel funkció'!G13+'2. Bevétel funkció'!G34</f>
        <v>11500000</v>
      </c>
      <c r="I46" s="133">
        <f>'2. Bevétel funkció'!H13+'2. Bevétel funkció'!H34</f>
        <v>11500000</v>
      </c>
    </row>
    <row r="47" spans="1:9" ht="15.75" customHeight="1">
      <c r="A47" s="108" t="s">
        <v>420</v>
      </c>
      <c r="B47" s="21"/>
      <c r="C47" s="21"/>
      <c r="D47" s="21"/>
      <c r="E47" s="21"/>
      <c r="F47" s="21"/>
      <c r="G47" s="21"/>
      <c r="H47" s="69"/>
      <c r="I47" s="133"/>
    </row>
    <row r="48" spans="1:9" ht="15.75" customHeight="1">
      <c r="A48" s="108" t="s">
        <v>421</v>
      </c>
      <c r="B48" s="124" t="s">
        <v>8</v>
      </c>
      <c r="C48" s="124"/>
      <c r="D48" s="202" t="s">
        <v>9</v>
      </c>
      <c r="E48" s="202"/>
      <c r="F48" s="202"/>
      <c r="G48" s="147"/>
      <c r="H48" s="119">
        <f>H49+H50+H59+H60+H62+H61</f>
        <v>139061000</v>
      </c>
      <c r="I48" s="128">
        <f>I49+I50+I59+I60+I62+I61</f>
        <v>163134959</v>
      </c>
    </row>
    <row r="49" spans="1:9" s="68" customFormat="1" ht="15.75" customHeight="1">
      <c r="A49" s="108" t="s">
        <v>422</v>
      </c>
      <c r="B49" s="148"/>
      <c r="C49" s="148"/>
      <c r="D49" s="21" t="s">
        <v>105</v>
      </c>
      <c r="E49" s="201" t="s">
        <v>124</v>
      </c>
      <c r="F49" s="201"/>
      <c r="G49" s="77"/>
      <c r="H49" s="120">
        <f>'2. Bevétel funkció'!G93</f>
        <v>300000</v>
      </c>
      <c r="I49" s="129">
        <f>'2. Bevétel funkció'!H93</f>
        <v>300000</v>
      </c>
    </row>
    <row r="50" spans="1:9" s="68" customFormat="1" ht="15.75" customHeight="1">
      <c r="A50" s="108" t="s">
        <v>423</v>
      </c>
      <c r="B50" s="148"/>
      <c r="C50" s="148"/>
      <c r="D50" s="21" t="s">
        <v>47</v>
      </c>
      <c r="E50" s="201" t="s">
        <v>77</v>
      </c>
      <c r="F50" s="201"/>
      <c r="G50" s="77"/>
      <c r="H50" s="120">
        <f>SUM(H51:H58)</f>
        <v>107350000</v>
      </c>
      <c r="I50" s="129">
        <f>SUM(I51:I58)</f>
        <v>107350000</v>
      </c>
    </row>
    <row r="51" spans="1:9" s="68" customFormat="1" ht="15.75" customHeight="1">
      <c r="A51" s="108" t="s">
        <v>424</v>
      </c>
      <c r="B51" s="148"/>
      <c r="C51" s="148"/>
      <c r="D51" s="148"/>
      <c r="E51" s="220" t="s">
        <v>291</v>
      </c>
      <c r="F51" s="221"/>
      <c r="G51" s="77"/>
      <c r="H51" s="121">
        <f>'2. Bevétel funkció'!G38</f>
        <v>150000</v>
      </c>
      <c r="I51" s="130">
        <f>'2. Bevétel funkció'!H38</f>
        <v>150000</v>
      </c>
    </row>
    <row r="52" spans="1:9" s="68" customFormat="1" ht="15.75" customHeight="1">
      <c r="A52" s="108" t="s">
        <v>425</v>
      </c>
      <c r="B52" s="148"/>
      <c r="C52" s="148"/>
      <c r="D52" s="148"/>
      <c r="E52" s="220" t="s">
        <v>292</v>
      </c>
      <c r="F52" s="221"/>
      <c r="G52" s="77"/>
      <c r="H52" s="121">
        <f>'2. Bevétel funkció'!G15</f>
        <v>200000</v>
      </c>
      <c r="I52" s="130">
        <f>'2. Bevétel funkció'!H15</f>
        <v>200000</v>
      </c>
    </row>
    <row r="53" spans="1:9" s="68" customFormat="1" ht="15.75" customHeight="1">
      <c r="A53" s="108" t="s">
        <v>426</v>
      </c>
      <c r="B53" s="148"/>
      <c r="C53" s="148"/>
      <c r="D53" s="148"/>
      <c r="E53" s="220" t="s">
        <v>79</v>
      </c>
      <c r="F53" s="221"/>
      <c r="G53" s="77"/>
      <c r="H53" s="121">
        <f>'2. Bevétel funkció'!G46</f>
        <v>76000000</v>
      </c>
      <c r="I53" s="130">
        <f>'2. Bevétel funkció'!H46</f>
        <v>76000000</v>
      </c>
    </row>
    <row r="54" spans="1:9" s="68" customFormat="1" ht="15.75" customHeight="1">
      <c r="A54" s="108" t="s">
        <v>427</v>
      </c>
      <c r="B54" s="148"/>
      <c r="C54" s="148"/>
      <c r="D54" s="148"/>
      <c r="E54" s="220" t="s">
        <v>295</v>
      </c>
      <c r="F54" s="221"/>
      <c r="G54" s="77"/>
      <c r="H54" s="121">
        <f>'2. Bevétel funkció'!G88</f>
        <v>600000</v>
      </c>
      <c r="I54" s="130">
        <f>'2. Bevétel funkció'!H88</f>
        <v>600000</v>
      </c>
    </row>
    <row r="55" spans="1:9" s="68" customFormat="1" ht="15.75" customHeight="1">
      <c r="A55" s="108" t="s">
        <v>428</v>
      </c>
      <c r="B55" s="148"/>
      <c r="C55" s="148"/>
      <c r="D55" s="148"/>
      <c r="E55" s="220" t="s">
        <v>80</v>
      </c>
      <c r="F55" s="221"/>
      <c r="G55" s="77"/>
      <c r="H55" s="121">
        <f>'2. Bevétel funkció'!G47</f>
        <v>300000</v>
      </c>
      <c r="I55" s="130">
        <f>'2. Bevétel funkció'!H47</f>
        <v>300000</v>
      </c>
    </row>
    <row r="56" spans="1:9" s="68" customFormat="1" ht="15.75" customHeight="1">
      <c r="A56" s="108" t="s">
        <v>429</v>
      </c>
      <c r="B56" s="148"/>
      <c r="C56" s="148"/>
      <c r="D56" s="148"/>
      <c r="E56" s="220" t="s">
        <v>293</v>
      </c>
      <c r="F56" s="221"/>
      <c r="G56" s="77"/>
      <c r="H56" s="121">
        <f>'2. Bevétel funkció'!G102</f>
        <v>30000000</v>
      </c>
      <c r="I56" s="130">
        <f>'2. Bevétel funkció'!H102</f>
        <v>30000000</v>
      </c>
    </row>
    <row r="57" spans="1:9" s="68" customFormat="1" ht="15.75" customHeight="1">
      <c r="A57" s="108" t="s">
        <v>430</v>
      </c>
      <c r="B57" s="148"/>
      <c r="C57" s="148"/>
      <c r="D57" s="148"/>
      <c r="E57" s="220" t="s">
        <v>294</v>
      </c>
      <c r="F57" s="221"/>
      <c r="G57" s="77"/>
      <c r="H57" s="121">
        <f>'2. Bevétel funkció'!G110</f>
        <v>70000</v>
      </c>
      <c r="I57" s="130">
        <f>'2. Bevétel funkció'!H110</f>
        <v>70000</v>
      </c>
    </row>
    <row r="58" spans="1:9" s="68" customFormat="1" ht="15.75" customHeight="1">
      <c r="A58" s="108" t="s">
        <v>431</v>
      </c>
      <c r="B58" s="148"/>
      <c r="C58" s="148"/>
      <c r="D58" s="148"/>
      <c r="E58" s="220" t="s">
        <v>348</v>
      </c>
      <c r="F58" s="221"/>
      <c r="G58" s="77"/>
      <c r="H58" s="121">
        <f>'2. Bevétel funkció'!G115</f>
        <v>30000</v>
      </c>
      <c r="I58" s="130">
        <f>'2. Bevétel funkció'!H115</f>
        <v>30000</v>
      </c>
    </row>
    <row r="59" spans="1:9" s="68" customFormat="1" ht="15.75" customHeight="1">
      <c r="A59" s="108" t="s">
        <v>432</v>
      </c>
      <c r="B59" s="148"/>
      <c r="C59" s="148"/>
      <c r="D59" s="21" t="s">
        <v>81</v>
      </c>
      <c r="E59" s="201" t="s">
        <v>123</v>
      </c>
      <c r="F59" s="201"/>
      <c r="G59" s="77"/>
      <c r="H59" s="121">
        <f>'2. Bevétel funkció'!G48</f>
        <v>2000000</v>
      </c>
      <c r="I59" s="130">
        <f>'2. Bevétel funkció'!H48</f>
        <v>2000000</v>
      </c>
    </row>
    <row r="60" spans="1:9" s="68" customFormat="1" ht="15.75" customHeight="1">
      <c r="A60" s="108" t="s">
        <v>433</v>
      </c>
      <c r="B60" s="148"/>
      <c r="C60" s="148"/>
      <c r="D60" s="21" t="s">
        <v>49</v>
      </c>
      <c r="E60" s="201" t="s">
        <v>50</v>
      </c>
      <c r="F60" s="201"/>
      <c r="G60" s="77"/>
      <c r="H60" s="121">
        <f>'2. Bevétel funkció'!G39+'2. Bevétel funkció'!G49+'2. Bevétel funkció'!G89+'2. Bevétel funkció'!G94+'2. Bevétel funkció'!G103+'2. Bevétel funkció'!G111+'2. Bevétel funkció'!G116</f>
        <v>29410000</v>
      </c>
      <c r="I60" s="130">
        <f>'2. Bevétel funkció'!H39+'2. Bevétel funkció'!H49+'2. Bevétel funkció'!H89+'2. Bevétel funkció'!H94+'2. Bevétel funkció'!H103+'2. Bevétel funkció'!H111+'2. Bevétel funkció'!H116</f>
        <v>29410000</v>
      </c>
    </row>
    <row r="61" spans="1:9" s="68" customFormat="1" ht="15.75" customHeight="1">
      <c r="A61" s="108" t="s">
        <v>434</v>
      </c>
      <c r="B61" s="148"/>
      <c r="C61" s="148"/>
      <c r="D61" s="21" t="s">
        <v>321</v>
      </c>
      <c r="E61" s="201" t="s">
        <v>324</v>
      </c>
      <c r="F61" s="201"/>
      <c r="G61" s="77"/>
      <c r="H61" s="121">
        <v>0</v>
      </c>
      <c r="I61" s="121">
        <f>'2. Bevétel funkció'!H104</f>
        <v>24073959</v>
      </c>
    </row>
    <row r="62" spans="1:9" ht="15.75" customHeight="1">
      <c r="A62" s="108" t="s">
        <v>435</v>
      </c>
      <c r="B62" s="21"/>
      <c r="C62" s="21"/>
      <c r="D62" s="21" t="s">
        <v>51</v>
      </c>
      <c r="E62" s="201" t="s">
        <v>52</v>
      </c>
      <c r="F62" s="201"/>
      <c r="G62" s="149"/>
      <c r="H62" s="122">
        <f>'2. Bevétel funkció'!G16</f>
        <v>1000</v>
      </c>
      <c r="I62" s="131">
        <f>'2. Bevétel funkció'!H16</f>
        <v>1000</v>
      </c>
    </row>
    <row r="63" spans="1:9" ht="15.75" customHeight="1">
      <c r="A63" s="108" t="s">
        <v>436</v>
      </c>
      <c r="B63" s="21"/>
      <c r="C63" s="21"/>
      <c r="D63" s="21"/>
      <c r="E63" s="21"/>
      <c r="F63" s="21"/>
      <c r="G63" s="21"/>
      <c r="H63" s="69"/>
      <c r="I63" s="133"/>
    </row>
    <row r="64" spans="1:9" ht="15.75" customHeight="1">
      <c r="A64" s="108" t="s">
        <v>437</v>
      </c>
      <c r="B64" s="124" t="s">
        <v>15</v>
      </c>
      <c r="C64" s="124"/>
      <c r="D64" s="202" t="s">
        <v>16</v>
      </c>
      <c r="E64" s="202"/>
      <c r="F64" s="202"/>
      <c r="G64" s="150"/>
      <c r="H64" s="119">
        <f>SUM(H65:H65)</f>
        <v>600000</v>
      </c>
      <c r="I64" s="128">
        <f>SUM(I65:I65)</f>
        <v>25600000</v>
      </c>
    </row>
    <row r="65" spans="1:9" ht="15.75" customHeight="1">
      <c r="A65" s="108" t="s">
        <v>438</v>
      </c>
      <c r="B65" s="21"/>
      <c r="C65" s="21" t="s">
        <v>53</v>
      </c>
      <c r="D65" s="21"/>
      <c r="E65" s="201" t="s">
        <v>54</v>
      </c>
      <c r="F65" s="201"/>
      <c r="G65" s="86"/>
      <c r="H65" s="122">
        <v>600000</v>
      </c>
      <c r="I65" s="122">
        <f>'2. Bevétel funkció'!H50+'2. Bevétel funkció'!H17</f>
        <v>25600000</v>
      </c>
    </row>
    <row r="66" spans="1:9" ht="15.75" customHeight="1">
      <c r="A66" s="108" t="s">
        <v>439</v>
      </c>
      <c r="B66" s="21"/>
      <c r="C66" s="21"/>
      <c r="D66" s="21"/>
      <c r="E66" s="21"/>
      <c r="F66" s="21"/>
      <c r="G66" s="86"/>
      <c r="H66" s="122"/>
      <c r="I66" s="131"/>
    </row>
    <row r="67" spans="1:9" ht="15.75" customHeight="1">
      <c r="A67" s="108" t="s">
        <v>440</v>
      </c>
      <c r="B67" s="124" t="s">
        <v>10</v>
      </c>
      <c r="C67" s="124"/>
      <c r="D67" s="202" t="s">
        <v>11</v>
      </c>
      <c r="E67" s="202"/>
      <c r="F67" s="202"/>
      <c r="G67" s="150"/>
      <c r="H67" s="119">
        <f>SUM(H68:H68)</f>
        <v>200000</v>
      </c>
      <c r="I67" s="128">
        <f>SUM(I68:I68)</f>
        <v>864800</v>
      </c>
    </row>
    <row r="68" spans="1:9" ht="15.75">
      <c r="A68" s="108" t="s">
        <v>441</v>
      </c>
      <c r="B68" s="21"/>
      <c r="C68" s="21" t="s">
        <v>55</v>
      </c>
      <c r="D68" s="21"/>
      <c r="E68" s="219" t="s">
        <v>125</v>
      </c>
      <c r="F68" s="219"/>
      <c r="G68" s="86"/>
      <c r="H68" s="122">
        <f>'2. Bevétel funkció'!G19</f>
        <v>200000</v>
      </c>
      <c r="I68" s="122">
        <f>'2. Bevétel funkció'!H19</f>
        <v>864800</v>
      </c>
    </row>
    <row r="69" spans="1:9" ht="15.75" customHeight="1">
      <c r="A69" s="108" t="s">
        <v>442</v>
      </c>
      <c r="B69" s="21"/>
      <c r="C69" s="21"/>
      <c r="D69" s="21"/>
      <c r="E69" s="21"/>
      <c r="F69" s="21"/>
      <c r="G69" s="86"/>
      <c r="H69" s="122"/>
      <c r="I69" s="131"/>
    </row>
    <row r="70" spans="1:9" ht="15.75" customHeight="1">
      <c r="A70" s="108" t="s">
        <v>443</v>
      </c>
      <c r="B70" s="151" t="s">
        <v>17</v>
      </c>
      <c r="C70" s="151"/>
      <c r="D70" s="223" t="s">
        <v>18</v>
      </c>
      <c r="E70" s="223"/>
      <c r="F70" s="223"/>
      <c r="G70" s="152"/>
      <c r="H70" s="153">
        <f>H71</f>
        <v>0</v>
      </c>
      <c r="I70" s="156">
        <f>I71</f>
        <v>89911800</v>
      </c>
    </row>
    <row r="71" spans="1:9" ht="15.75" customHeight="1">
      <c r="A71" s="108" t="s">
        <v>444</v>
      </c>
      <c r="B71" s="47" t="s">
        <v>17</v>
      </c>
      <c r="C71" s="47"/>
      <c r="D71" s="203" t="s">
        <v>16</v>
      </c>
      <c r="E71" s="203"/>
      <c r="F71" s="203"/>
      <c r="G71" s="22"/>
      <c r="H71" s="154">
        <f>H72</f>
        <v>0</v>
      </c>
      <c r="I71" s="157">
        <f>I72</f>
        <v>89911800</v>
      </c>
    </row>
    <row r="72" spans="1:9" ht="15.75" customHeight="1">
      <c r="A72" s="108" t="s">
        <v>445</v>
      </c>
      <c r="B72" s="21"/>
      <c r="C72" s="21"/>
      <c r="D72" s="21" t="s">
        <v>322</v>
      </c>
      <c r="E72" s="201" t="s">
        <v>323</v>
      </c>
      <c r="F72" s="201"/>
      <c r="G72" s="69"/>
      <c r="H72" s="155"/>
      <c r="I72" s="158">
        <f>'2. Bevétel funkció'!H105</f>
        <v>89911800</v>
      </c>
    </row>
    <row r="73" spans="1:9" ht="18.75" customHeight="1">
      <c r="A73" s="108" t="s">
        <v>446</v>
      </c>
      <c r="B73" s="21"/>
      <c r="C73" s="21"/>
      <c r="D73" s="21"/>
      <c r="E73" s="21"/>
      <c r="F73" s="21"/>
      <c r="G73" s="21"/>
      <c r="H73" s="69"/>
      <c r="I73" s="133"/>
    </row>
    <row r="74" spans="1:9" ht="15.75" customHeight="1">
      <c r="A74" s="108" t="s">
        <v>447</v>
      </c>
      <c r="B74" s="124" t="s">
        <v>20</v>
      </c>
      <c r="C74" s="124"/>
      <c r="D74" s="202" t="s">
        <v>19</v>
      </c>
      <c r="E74" s="202"/>
      <c r="F74" s="202"/>
      <c r="G74" s="150"/>
      <c r="H74" s="119">
        <f>H75</f>
        <v>99270852</v>
      </c>
      <c r="I74" s="128">
        <f>I75</f>
        <v>100786153</v>
      </c>
    </row>
    <row r="75" spans="1:9" ht="15.75" customHeight="1">
      <c r="A75" s="108" t="s">
        <v>448</v>
      </c>
      <c r="B75" s="21"/>
      <c r="C75" s="47" t="s">
        <v>99</v>
      </c>
      <c r="D75" s="47"/>
      <c r="E75" s="203" t="s">
        <v>100</v>
      </c>
      <c r="F75" s="203"/>
      <c r="G75" s="86"/>
      <c r="H75" s="123">
        <f>H76+H77</f>
        <v>99270852</v>
      </c>
      <c r="I75" s="132">
        <f>I76+I77</f>
        <v>100786153</v>
      </c>
    </row>
    <row r="76" spans="1:9" ht="15.75" customHeight="1">
      <c r="A76" s="108" t="s">
        <v>449</v>
      </c>
      <c r="B76" s="21"/>
      <c r="C76" s="21"/>
      <c r="D76" s="21" t="s">
        <v>101</v>
      </c>
      <c r="E76" s="21"/>
      <c r="F76" s="21" t="s">
        <v>102</v>
      </c>
      <c r="G76" s="86"/>
      <c r="H76" s="122">
        <f>'2. Bevétel funkció'!G84</f>
        <v>96270852</v>
      </c>
      <c r="I76" s="131">
        <f>'2. Bevétel funkció'!H84</f>
        <v>96270852</v>
      </c>
    </row>
    <row r="77" spans="1:9" ht="15.75" customHeight="1">
      <c r="A77" s="108" t="s">
        <v>450</v>
      </c>
      <c r="B77" s="21"/>
      <c r="C77" s="21"/>
      <c r="D77" s="21" t="s">
        <v>126</v>
      </c>
      <c r="E77" s="21"/>
      <c r="F77" s="21" t="s">
        <v>127</v>
      </c>
      <c r="G77" s="21"/>
      <c r="H77" s="69">
        <f>'2. Bevétel funkció'!G75</f>
        <v>3000000</v>
      </c>
      <c r="I77" s="133">
        <f>'2. Bevétel funkció'!H75</f>
        <v>4515301</v>
      </c>
    </row>
    <row r="78" spans="1:9" ht="15.75" customHeight="1" thickBot="1">
      <c r="A78" s="113" t="s">
        <v>451</v>
      </c>
      <c r="B78" s="159"/>
      <c r="C78" s="159"/>
      <c r="D78" s="159" t="s">
        <v>113</v>
      </c>
      <c r="E78" s="159"/>
      <c r="F78" s="159"/>
      <c r="G78" s="159"/>
      <c r="H78" s="160">
        <f>H12+H33+H36+H48+H64+H67+H70+H74</f>
        <v>484181501</v>
      </c>
      <c r="I78" s="161">
        <f>I12+I33+I36+I48+I64+I67+I70+I74</f>
        <v>607831061</v>
      </c>
    </row>
  </sheetData>
  <sheetProtection selectLockedCells="1" selectUnlockedCells="1"/>
  <mergeCells count="52">
    <mergeCell ref="A1:I1"/>
    <mergeCell ref="A2:I2"/>
    <mergeCell ref="A9:A11"/>
    <mergeCell ref="I9:I11"/>
    <mergeCell ref="E75:F75"/>
    <mergeCell ref="E62:F62"/>
    <mergeCell ref="D64:F64"/>
    <mergeCell ref="E65:F65"/>
    <mergeCell ref="D67:F67"/>
    <mergeCell ref="D70:F70"/>
    <mergeCell ref="D71:F71"/>
    <mergeCell ref="E72:F72"/>
    <mergeCell ref="D74:F74"/>
    <mergeCell ref="E58:F58"/>
    <mergeCell ref="E55:F55"/>
    <mergeCell ref="E56:F56"/>
    <mergeCell ref="E57:F57"/>
    <mergeCell ref="E68:F68"/>
    <mergeCell ref="D48:F48"/>
    <mergeCell ref="E49:F49"/>
    <mergeCell ref="E50:F50"/>
    <mergeCell ref="E59:F59"/>
    <mergeCell ref="E60:F60"/>
    <mergeCell ref="E61:F61"/>
    <mergeCell ref="E51:F51"/>
    <mergeCell ref="E52:F52"/>
    <mergeCell ref="E53:F53"/>
    <mergeCell ref="E54:F54"/>
    <mergeCell ref="E26:F26"/>
    <mergeCell ref="E29:F29"/>
    <mergeCell ref="E30:F30"/>
    <mergeCell ref="E31:F31"/>
    <mergeCell ref="D33:F33"/>
    <mergeCell ref="E34:F34"/>
    <mergeCell ref="E13:F13"/>
    <mergeCell ref="E14:F14"/>
    <mergeCell ref="E22:F22"/>
    <mergeCell ref="E23:F23"/>
    <mergeCell ref="E24:F24"/>
    <mergeCell ref="E25:F25"/>
    <mergeCell ref="D36:F36"/>
    <mergeCell ref="E37:F37"/>
    <mergeCell ref="E40:F40"/>
    <mergeCell ref="E41:F41"/>
    <mergeCell ref="E43:F43"/>
    <mergeCell ref="E45:F45"/>
    <mergeCell ref="H9:H11"/>
    <mergeCell ref="B4:H4"/>
    <mergeCell ref="B5:H5"/>
    <mergeCell ref="B6:H6"/>
    <mergeCell ref="B9:G11"/>
    <mergeCell ref="B8:G8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84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PageLayoutView="0" workbookViewId="0" topLeftCell="A1">
      <selection activeCell="L6" sqref="L6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2.140625" style="1" customWidth="1"/>
    <col min="4" max="4" width="1.421875" style="1" customWidth="1"/>
    <col min="5" max="5" width="47.28125" style="1" customWidth="1"/>
    <col min="6" max="7" width="14.00390625" style="1" bestFit="1" customWidth="1"/>
    <col min="8" max="8" width="9.421875" style="1" customWidth="1"/>
    <col min="9" max="9" width="14.00390625" style="1" bestFit="1" customWidth="1"/>
    <col min="10" max="16384" width="9.140625" style="1" customWidth="1"/>
  </cols>
  <sheetData>
    <row r="1" spans="2:9" ht="15.75">
      <c r="B1" s="227" t="s">
        <v>359</v>
      </c>
      <c r="C1" s="227"/>
      <c r="D1" s="227"/>
      <c r="E1" s="227"/>
      <c r="F1" s="227"/>
      <c r="G1" s="227"/>
      <c r="H1" s="227"/>
      <c r="I1" s="227"/>
    </row>
    <row r="2" spans="2:9" ht="15.75">
      <c r="B2" s="227" t="s">
        <v>846</v>
      </c>
      <c r="C2" s="227"/>
      <c r="D2" s="227"/>
      <c r="E2" s="227"/>
      <c r="F2" s="227"/>
      <c r="G2" s="227"/>
      <c r="H2" s="227"/>
      <c r="I2" s="227"/>
    </row>
    <row r="3" spans="2:9" ht="15.75">
      <c r="B3" s="12"/>
      <c r="C3" s="12"/>
      <c r="D3" s="12"/>
      <c r="E3" s="2"/>
      <c r="F3" s="2"/>
      <c r="G3" s="2"/>
      <c r="H3" s="2"/>
      <c r="I3" s="2"/>
    </row>
    <row r="4" spans="2:9" ht="15.75">
      <c r="B4" s="214" t="s">
        <v>0</v>
      </c>
      <c r="C4" s="214"/>
      <c r="D4" s="214"/>
      <c r="E4" s="214"/>
      <c r="F4" s="214"/>
      <c r="G4" s="214"/>
      <c r="H4" s="214"/>
      <c r="I4" s="214"/>
    </row>
    <row r="5" spans="2:9" ht="15.75">
      <c r="B5" s="228" t="s">
        <v>813</v>
      </c>
      <c r="C5" s="228"/>
      <c r="D5" s="228"/>
      <c r="E5" s="228"/>
      <c r="F5" s="228"/>
      <c r="G5" s="228"/>
      <c r="H5" s="228"/>
      <c r="I5" s="228"/>
    </row>
    <row r="6" spans="2:9" ht="15.75">
      <c r="B6" s="228" t="s">
        <v>128</v>
      </c>
      <c r="C6" s="228"/>
      <c r="D6" s="228"/>
      <c r="E6" s="228"/>
      <c r="F6" s="228"/>
      <c r="G6" s="228"/>
      <c r="H6" s="228"/>
      <c r="I6" s="228"/>
    </row>
    <row r="7" spans="2:9" ht="16.5" thickBot="1">
      <c r="B7" s="11"/>
      <c r="C7" s="11"/>
      <c r="D7" s="11"/>
      <c r="E7" s="11"/>
      <c r="F7" s="11"/>
      <c r="G7" s="11"/>
      <c r="H7" s="11"/>
      <c r="I7" s="11"/>
    </row>
    <row r="8" spans="1:9" ht="15.75">
      <c r="A8" s="95" t="s">
        <v>380</v>
      </c>
      <c r="B8" s="218" t="s">
        <v>381</v>
      </c>
      <c r="C8" s="218"/>
      <c r="D8" s="218"/>
      <c r="E8" s="218"/>
      <c r="F8" s="107" t="s">
        <v>382</v>
      </c>
      <c r="G8" s="107" t="s">
        <v>383</v>
      </c>
      <c r="H8" s="107" t="s">
        <v>384</v>
      </c>
      <c r="I8" s="97" t="s">
        <v>814</v>
      </c>
    </row>
    <row r="9" spans="1:9" ht="12.75" customHeight="1">
      <c r="A9" s="231" t="s">
        <v>385</v>
      </c>
      <c r="B9" s="229" t="s">
        <v>129</v>
      </c>
      <c r="C9" s="229"/>
      <c r="D9" s="229"/>
      <c r="E9" s="229"/>
      <c r="F9" s="230" t="s">
        <v>130</v>
      </c>
      <c r="G9" s="230" t="s">
        <v>131</v>
      </c>
      <c r="H9" s="230" t="s">
        <v>132</v>
      </c>
      <c r="I9" s="224" t="s">
        <v>133</v>
      </c>
    </row>
    <row r="10" spans="1:9" ht="15.75">
      <c r="A10" s="231"/>
      <c r="B10" s="229"/>
      <c r="C10" s="229"/>
      <c r="D10" s="229"/>
      <c r="E10" s="229"/>
      <c r="F10" s="230"/>
      <c r="G10" s="230"/>
      <c r="H10" s="230"/>
      <c r="I10" s="224"/>
    </row>
    <row r="11" spans="1:9" ht="27" customHeight="1">
      <c r="A11" s="231"/>
      <c r="B11" s="229"/>
      <c r="C11" s="229"/>
      <c r="D11" s="229"/>
      <c r="E11" s="229"/>
      <c r="F11" s="230"/>
      <c r="G11" s="230"/>
      <c r="H11" s="230"/>
      <c r="I11" s="224"/>
    </row>
    <row r="12" spans="1:10" ht="15.75">
      <c r="A12" s="108" t="s">
        <v>386</v>
      </c>
      <c r="B12" s="225" t="s">
        <v>134</v>
      </c>
      <c r="C12" s="225"/>
      <c r="D12" s="225"/>
      <c r="E12" s="225"/>
      <c r="F12" s="49">
        <f>'2. Bevétel funkció'!H11</f>
        <v>12665800</v>
      </c>
      <c r="G12" s="162"/>
      <c r="H12" s="162"/>
      <c r="I12" s="164">
        <f aca="true" t="shared" si="0" ref="I12:I29">F12+G12+H12</f>
        <v>12665800</v>
      </c>
      <c r="J12" s="13"/>
    </row>
    <row r="13" spans="1:10" ht="15.75">
      <c r="A13" s="108" t="s">
        <v>387</v>
      </c>
      <c r="B13" s="226" t="s">
        <v>135</v>
      </c>
      <c r="C13" s="226"/>
      <c r="D13" s="226"/>
      <c r="E13" s="226"/>
      <c r="F13" s="163">
        <f>'2. Bevétel funkció'!H23</f>
        <v>101265000</v>
      </c>
      <c r="G13" s="163"/>
      <c r="H13" s="44"/>
      <c r="I13" s="164">
        <f t="shared" si="0"/>
        <v>101265000</v>
      </c>
      <c r="J13" s="14"/>
    </row>
    <row r="14" spans="1:10" ht="15.75">
      <c r="A14" s="108" t="s">
        <v>388</v>
      </c>
      <c r="B14" s="225" t="s">
        <v>136</v>
      </c>
      <c r="C14" s="225"/>
      <c r="D14" s="225"/>
      <c r="E14" s="225"/>
      <c r="F14" s="49">
        <f>'2. Bevétel funkció'!H36</f>
        <v>190000</v>
      </c>
      <c r="G14" s="49"/>
      <c r="H14" s="67"/>
      <c r="I14" s="164">
        <f t="shared" si="0"/>
        <v>190000</v>
      </c>
      <c r="J14" s="14"/>
    </row>
    <row r="15" spans="1:10" ht="15.75">
      <c r="A15" s="108" t="s">
        <v>389</v>
      </c>
      <c r="B15" s="225" t="s">
        <v>137</v>
      </c>
      <c r="C15" s="225"/>
      <c r="D15" s="225"/>
      <c r="E15" s="225"/>
      <c r="F15" s="49">
        <f>'2. Bevétel funkció'!H41</f>
        <v>124300000</v>
      </c>
      <c r="G15" s="49"/>
      <c r="H15" s="67"/>
      <c r="I15" s="164">
        <f t="shared" si="0"/>
        <v>124300000</v>
      </c>
      <c r="J15" s="14"/>
    </row>
    <row r="16" spans="1:10" ht="15.75">
      <c r="A16" s="108" t="s">
        <v>390</v>
      </c>
      <c r="B16" s="226" t="s">
        <v>138</v>
      </c>
      <c r="C16" s="226"/>
      <c r="D16" s="226"/>
      <c r="E16" s="226"/>
      <c r="F16" s="163">
        <f>'2. Bevétel funkció'!H54</f>
        <v>90092851</v>
      </c>
      <c r="G16" s="163"/>
      <c r="H16" s="44"/>
      <c r="I16" s="164">
        <f t="shared" si="0"/>
        <v>90092851</v>
      </c>
      <c r="J16" s="14"/>
    </row>
    <row r="17" spans="1:10" ht="15.75">
      <c r="A17" s="108" t="s">
        <v>391</v>
      </c>
      <c r="B17" s="226" t="s">
        <v>139</v>
      </c>
      <c r="C17" s="226"/>
      <c r="D17" s="226"/>
      <c r="E17" s="226"/>
      <c r="F17" s="163">
        <f>'2. Bevétel funkció'!H73</f>
        <v>4515301</v>
      </c>
      <c r="G17" s="163"/>
      <c r="H17" s="44"/>
      <c r="I17" s="164">
        <f t="shared" si="0"/>
        <v>4515301</v>
      </c>
      <c r="J17" s="14"/>
    </row>
    <row r="18" spans="1:10" ht="15.75">
      <c r="A18" s="108" t="s">
        <v>392</v>
      </c>
      <c r="B18" s="226" t="s">
        <v>140</v>
      </c>
      <c r="C18" s="226"/>
      <c r="D18" s="226"/>
      <c r="E18" s="226"/>
      <c r="F18" s="163">
        <f>'2. Bevétel funkció'!H77</f>
        <v>106446350</v>
      </c>
      <c r="G18" s="163"/>
      <c r="H18" s="44"/>
      <c r="I18" s="164">
        <f t="shared" si="0"/>
        <v>106446350</v>
      </c>
      <c r="J18" s="14"/>
    </row>
    <row r="19" spans="1:10" ht="15.75">
      <c r="A19" s="108" t="s">
        <v>393</v>
      </c>
      <c r="B19" s="226" t="s">
        <v>141</v>
      </c>
      <c r="C19" s="226"/>
      <c r="D19" s="226"/>
      <c r="E19" s="226"/>
      <c r="F19" s="163"/>
      <c r="G19" s="163"/>
      <c r="H19" s="44"/>
      <c r="I19" s="164">
        <f t="shared" si="0"/>
        <v>0</v>
      </c>
      <c r="J19" s="14"/>
    </row>
    <row r="20" spans="1:10" ht="15.75">
      <c r="A20" s="108" t="s">
        <v>394</v>
      </c>
      <c r="B20" s="226" t="s">
        <v>325</v>
      </c>
      <c r="C20" s="226"/>
      <c r="D20" s="226"/>
      <c r="E20" s="226"/>
      <c r="F20" s="163"/>
      <c r="G20" s="163"/>
      <c r="H20" s="44"/>
      <c r="I20" s="164">
        <f t="shared" si="0"/>
        <v>0</v>
      </c>
      <c r="J20" s="14"/>
    </row>
    <row r="21" spans="1:10" ht="15.75">
      <c r="A21" s="108" t="s">
        <v>395</v>
      </c>
      <c r="B21" s="226" t="s">
        <v>307</v>
      </c>
      <c r="C21" s="226"/>
      <c r="D21" s="226"/>
      <c r="E21" s="226"/>
      <c r="F21" s="163"/>
      <c r="G21" s="163">
        <f>'2. Bevétel funkció'!H86</f>
        <v>762000</v>
      </c>
      <c r="H21" s="44"/>
      <c r="I21" s="164">
        <f t="shared" si="0"/>
        <v>762000</v>
      </c>
      <c r="J21" s="14"/>
    </row>
    <row r="22" spans="1:10" ht="15.75">
      <c r="A22" s="108" t="s">
        <v>396</v>
      </c>
      <c r="B22" s="225" t="s">
        <v>104</v>
      </c>
      <c r="C22" s="225"/>
      <c r="D22" s="225"/>
      <c r="E22" s="225"/>
      <c r="F22" s="49"/>
      <c r="G22" s="49">
        <f>'2. Bevétel funkció'!H91</f>
        <v>381000</v>
      </c>
      <c r="H22" s="67"/>
      <c r="I22" s="164">
        <f t="shared" si="0"/>
        <v>381000</v>
      </c>
      <c r="J22" s="14"/>
    </row>
    <row r="23" spans="1:10" ht="15.75">
      <c r="A23" s="108" t="s">
        <v>397</v>
      </c>
      <c r="B23" s="225" t="s">
        <v>344</v>
      </c>
      <c r="C23" s="225"/>
      <c r="D23" s="225"/>
      <c r="E23" s="225"/>
      <c r="F23" s="49"/>
      <c r="G23" s="49">
        <f>'2. Bevétel funkció'!H96</f>
        <v>15000000</v>
      </c>
      <c r="H23" s="67"/>
      <c r="I23" s="164">
        <f t="shared" si="0"/>
        <v>15000000</v>
      </c>
      <c r="J23" s="14"/>
    </row>
    <row r="24" spans="1:10" ht="15.75">
      <c r="A24" s="108" t="s">
        <v>398</v>
      </c>
      <c r="B24" s="225" t="s">
        <v>107</v>
      </c>
      <c r="C24" s="225"/>
      <c r="D24" s="225"/>
      <c r="E24" s="225"/>
      <c r="F24" s="49">
        <v>0</v>
      </c>
      <c r="G24" s="49"/>
      <c r="H24" s="67"/>
      <c r="I24" s="164">
        <f t="shared" si="0"/>
        <v>0</v>
      </c>
      <c r="J24" s="15"/>
    </row>
    <row r="25" spans="1:10" ht="15.75">
      <c r="A25" s="108" t="s">
        <v>399</v>
      </c>
      <c r="B25" s="225" t="s">
        <v>108</v>
      </c>
      <c r="C25" s="225"/>
      <c r="D25" s="225"/>
      <c r="E25" s="225"/>
      <c r="F25" s="49">
        <v>0</v>
      </c>
      <c r="G25" s="49"/>
      <c r="H25" s="67"/>
      <c r="I25" s="164">
        <f t="shared" si="0"/>
        <v>0</v>
      </c>
      <c r="J25" s="15"/>
    </row>
    <row r="26" spans="1:10" ht="15.75">
      <c r="A26" s="108" t="s">
        <v>400</v>
      </c>
      <c r="B26" s="225" t="s">
        <v>109</v>
      </c>
      <c r="C26" s="225"/>
      <c r="D26" s="225"/>
      <c r="E26" s="225"/>
      <c r="F26" s="49"/>
      <c r="G26" s="49"/>
      <c r="H26" s="67"/>
      <c r="I26" s="164">
        <f t="shared" si="0"/>
        <v>0</v>
      </c>
      <c r="J26" s="15"/>
    </row>
    <row r="27" spans="1:10" ht="15.75">
      <c r="A27" s="108" t="s">
        <v>401</v>
      </c>
      <c r="B27" s="225" t="s">
        <v>110</v>
      </c>
      <c r="C27" s="225"/>
      <c r="D27" s="225"/>
      <c r="E27" s="225"/>
      <c r="F27" s="49"/>
      <c r="G27" s="49">
        <f>'2. Bevétel funkció'!H100</f>
        <v>152085759</v>
      </c>
      <c r="H27" s="67"/>
      <c r="I27" s="164">
        <f t="shared" si="0"/>
        <v>152085759</v>
      </c>
      <c r="J27" s="15"/>
    </row>
    <row r="28" spans="1:10" ht="15.75">
      <c r="A28" s="108" t="s">
        <v>402</v>
      </c>
      <c r="B28" s="225" t="s">
        <v>112</v>
      </c>
      <c r="C28" s="225"/>
      <c r="D28" s="225"/>
      <c r="E28" s="225"/>
      <c r="F28" s="49"/>
      <c r="G28" s="49">
        <f>'2. Bevétel funkció'!H108</f>
        <v>88900</v>
      </c>
      <c r="H28" s="67"/>
      <c r="I28" s="164">
        <f t="shared" si="0"/>
        <v>88900</v>
      </c>
      <c r="J28" s="15"/>
    </row>
    <row r="29" spans="1:10" ht="15.75">
      <c r="A29" s="108" t="s">
        <v>403</v>
      </c>
      <c r="B29" s="225" t="s">
        <v>142</v>
      </c>
      <c r="C29" s="225"/>
      <c r="D29" s="225"/>
      <c r="E29" s="225"/>
      <c r="F29" s="49"/>
      <c r="G29" s="49">
        <f>'2. Bevétel funkció'!H113</f>
        <v>38100</v>
      </c>
      <c r="H29" s="67"/>
      <c r="I29" s="164">
        <f t="shared" si="0"/>
        <v>38100</v>
      </c>
      <c r="J29" s="15"/>
    </row>
    <row r="30" spans="1:10" ht="16.5" thickBot="1">
      <c r="A30" s="113" t="s">
        <v>404</v>
      </c>
      <c r="B30" s="232" t="s">
        <v>113</v>
      </c>
      <c r="C30" s="232"/>
      <c r="D30" s="232"/>
      <c r="E30" s="232"/>
      <c r="F30" s="101">
        <f>SUM(F12:F29)</f>
        <v>439475302</v>
      </c>
      <c r="G30" s="101">
        <f>SUM(G12:G29)</f>
        <v>168355759</v>
      </c>
      <c r="H30" s="101">
        <f>SUM(H12:H29)</f>
        <v>0</v>
      </c>
      <c r="I30" s="166">
        <f>SUM(I12:I29)</f>
        <v>607831061</v>
      </c>
      <c r="J30" s="14"/>
    </row>
  </sheetData>
  <sheetProtection selectLockedCells="1" selectUnlockedCells="1"/>
  <mergeCells count="31">
    <mergeCell ref="B23:E23"/>
    <mergeCell ref="B18:E18"/>
    <mergeCell ref="A9:A11"/>
    <mergeCell ref="B8:E8"/>
    <mergeCell ref="B30:E30"/>
    <mergeCell ref="B25:E25"/>
    <mergeCell ref="B26:E26"/>
    <mergeCell ref="B27:E27"/>
    <mergeCell ref="B28:E28"/>
    <mergeCell ref="B29:E29"/>
    <mergeCell ref="B24:E24"/>
    <mergeCell ref="H9:H11"/>
    <mergeCell ref="B13:E13"/>
    <mergeCell ref="B17:E17"/>
    <mergeCell ref="B19:E19"/>
    <mergeCell ref="B21:E21"/>
    <mergeCell ref="B2:I2"/>
    <mergeCell ref="B12:E12"/>
    <mergeCell ref="B14:E14"/>
    <mergeCell ref="B15:E15"/>
    <mergeCell ref="B16:E16"/>
    <mergeCell ref="I9:I11"/>
    <mergeCell ref="B22:E22"/>
    <mergeCell ref="B20:E20"/>
    <mergeCell ref="B1:I1"/>
    <mergeCell ref="B4:I4"/>
    <mergeCell ref="B5:I5"/>
    <mergeCell ref="B6:I6"/>
    <mergeCell ref="B9:E11"/>
    <mergeCell ref="F9:F11"/>
    <mergeCell ref="G9:G11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2"/>
  <sheetViews>
    <sheetView view="pageBreakPreview" zoomScaleSheetLayoutView="100" zoomScalePageLayoutView="0" workbookViewId="0" topLeftCell="A1">
      <selection activeCell="I220" sqref="I220"/>
    </sheetView>
  </sheetViews>
  <sheetFormatPr defaultColWidth="9.140625" defaultRowHeight="12.75" customHeight="1"/>
  <cols>
    <col min="1" max="1" width="6.421875" style="20" customWidth="1"/>
    <col min="2" max="2" width="3.57421875" style="16" customWidth="1"/>
    <col min="3" max="3" width="5.8515625" style="15" customWidth="1"/>
    <col min="4" max="4" width="7.140625" style="15" customWidth="1"/>
    <col min="5" max="5" width="6.421875" style="15" customWidth="1"/>
    <col min="6" max="6" width="54.8515625" style="15" customWidth="1"/>
    <col min="7" max="7" width="9.8515625" style="15" customWidth="1"/>
    <col min="8" max="8" width="13.421875" style="1" customWidth="1"/>
    <col min="9" max="9" width="12.57421875" style="1" customWidth="1"/>
    <col min="10" max="12" width="9.140625" style="1" customWidth="1"/>
    <col min="13" max="13" width="12.421875" style="1" bestFit="1" customWidth="1"/>
    <col min="14" max="16384" width="9.140625" style="1" customWidth="1"/>
  </cols>
  <sheetData>
    <row r="1" spans="1:9" ht="15.75" customHeight="1">
      <c r="A1" s="242" t="s">
        <v>360</v>
      </c>
      <c r="B1" s="242"/>
      <c r="C1" s="242"/>
      <c r="D1" s="242"/>
      <c r="E1" s="242"/>
      <c r="F1" s="242"/>
      <c r="G1" s="242"/>
      <c r="H1" s="242"/>
      <c r="I1" s="242"/>
    </row>
    <row r="2" spans="1:9" ht="15.75" customHeight="1">
      <c r="A2" s="242" t="s">
        <v>847</v>
      </c>
      <c r="B2" s="242"/>
      <c r="C2" s="242"/>
      <c r="D2" s="242"/>
      <c r="E2" s="242"/>
      <c r="F2" s="242"/>
      <c r="G2" s="242"/>
      <c r="H2" s="242"/>
      <c r="I2" s="242"/>
    </row>
    <row r="3" spans="2:7" ht="15.75" customHeight="1">
      <c r="B3" s="83"/>
      <c r="C3" s="83"/>
      <c r="D3" s="83"/>
      <c r="E3" s="83"/>
      <c r="F3" s="83"/>
      <c r="G3" s="83"/>
    </row>
    <row r="4" spans="1:9" ht="15.75" customHeight="1">
      <c r="A4" s="214" t="s">
        <v>0</v>
      </c>
      <c r="B4" s="214"/>
      <c r="C4" s="214"/>
      <c r="D4" s="214"/>
      <c r="E4" s="214"/>
      <c r="F4" s="214"/>
      <c r="G4" s="214"/>
      <c r="H4" s="214"/>
      <c r="I4" s="214"/>
    </row>
    <row r="5" spans="1:9" ht="15.75" customHeight="1">
      <c r="A5" s="214" t="s">
        <v>809</v>
      </c>
      <c r="B5" s="214"/>
      <c r="C5" s="214"/>
      <c r="D5" s="214"/>
      <c r="E5" s="214"/>
      <c r="F5" s="214"/>
      <c r="G5" s="214"/>
      <c r="H5" s="214"/>
      <c r="I5" s="214"/>
    </row>
    <row r="6" spans="1:9" ht="15.75" customHeight="1">
      <c r="A6" s="214" t="s">
        <v>43</v>
      </c>
      <c r="B6" s="214"/>
      <c r="C6" s="214"/>
      <c r="D6" s="214"/>
      <c r="E6" s="214"/>
      <c r="F6" s="214"/>
      <c r="G6" s="214"/>
      <c r="H6" s="214"/>
      <c r="I6" s="214"/>
    </row>
    <row r="7" spans="2:8" ht="15.75" customHeight="1" thickBot="1">
      <c r="B7" s="9"/>
      <c r="C7" s="9"/>
      <c r="D7" s="9"/>
      <c r="E7" s="9"/>
      <c r="F7" s="9"/>
      <c r="G7" s="9"/>
      <c r="H7" s="9"/>
    </row>
    <row r="8" spans="1:9" ht="15.75" customHeight="1">
      <c r="A8" s="95" t="s">
        <v>380</v>
      </c>
      <c r="B8" s="243" t="s">
        <v>381</v>
      </c>
      <c r="C8" s="243"/>
      <c r="D8" s="243"/>
      <c r="E8" s="243"/>
      <c r="F8" s="243"/>
      <c r="G8" s="96" t="s">
        <v>382</v>
      </c>
      <c r="H8" s="96" t="s">
        <v>383</v>
      </c>
      <c r="I8" s="97" t="s">
        <v>384</v>
      </c>
    </row>
    <row r="9" spans="1:9" ht="15.75" customHeight="1">
      <c r="A9" s="197" t="s">
        <v>385</v>
      </c>
      <c r="B9" s="217" t="s">
        <v>143</v>
      </c>
      <c r="C9" s="217"/>
      <c r="D9" s="217"/>
      <c r="E9" s="217"/>
      <c r="F9" s="217"/>
      <c r="G9" s="216" t="s">
        <v>144</v>
      </c>
      <c r="H9" s="215" t="s">
        <v>2</v>
      </c>
      <c r="I9" s="215" t="s">
        <v>808</v>
      </c>
    </row>
    <row r="10" spans="1:9" s="10" customFormat="1" ht="15.75" customHeight="1">
      <c r="A10" s="197"/>
      <c r="B10" s="217"/>
      <c r="C10" s="217"/>
      <c r="D10" s="217"/>
      <c r="E10" s="217"/>
      <c r="F10" s="217"/>
      <c r="G10" s="216"/>
      <c r="H10" s="215"/>
      <c r="I10" s="215"/>
    </row>
    <row r="11" spans="1:9" s="14" customFormat="1" ht="15.75" customHeight="1">
      <c r="A11" s="103" t="s">
        <v>386</v>
      </c>
      <c r="B11" s="192" t="s">
        <v>145</v>
      </c>
      <c r="C11" s="192"/>
      <c r="D11" s="192"/>
      <c r="E11" s="192"/>
      <c r="F11" s="192"/>
      <c r="G11" s="85"/>
      <c r="H11" s="24">
        <f>H12+H20+H23+H39+H44</f>
        <v>53602780</v>
      </c>
      <c r="I11" s="24">
        <f>I12+I20+I23+I39+I44</f>
        <v>58388173</v>
      </c>
    </row>
    <row r="12" spans="1:14" s="14" customFormat="1" ht="15.75" customHeight="1">
      <c r="A12" s="103" t="s">
        <v>387</v>
      </c>
      <c r="B12" s="25" t="s">
        <v>23</v>
      </c>
      <c r="C12" s="26"/>
      <c r="D12" s="234" t="s">
        <v>146</v>
      </c>
      <c r="E12" s="234"/>
      <c r="F12" s="234"/>
      <c r="G12" s="23"/>
      <c r="H12" s="27">
        <f>H13</f>
        <v>14862250</v>
      </c>
      <c r="I12" s="27">
        <f>I13</f>
        <v>14862250</v>
      </c>
      <c r="K12" s="87"/>
      <c r="L12" s="87"/>
      <c r="M12" s="87"/>
      <c r="N12" s="87"/>
    </row>
    <row r="13" spans="1:14" s="14" customFormat="1" ht="15.75" customHeight="1">
      <c r="A13" s="103" t="s">
        <v>388</v>
      </c>
      <c r="B13" s="28"/>
      <c r="C13" s="26" t="s">
        <v>153</v>
      </c>
      <c r="D13" s="26"/>
      <c r="E13" s="234" t="s">
        <v>154</v>
      </c>
      <c r="F13" s="234"/>
      <c r="G13" s="29"/>
      <c r="H13" s="27">
        <f>H14+H19</f>
        <v>14862250</v>
      </c>
      <c r="I13" s="27">
        <f>I14+I19</f>
        <v>14862250</v>
      </c>
      <c r="K13" s="87"/>
      <c r="L13" s="87"/>
      <c r="M13" s="88"/>
      <c r="N13" s="87"/>
    </row>
    <row r="14" spans="1:14" s="14" customFormat="1" ht="15.75" customHeight="1">
      <c r="A14" s="103" t="s">
        <v>389</v>
      </c>
      <c r="B14" s="28"/>
      <c r="C14" s="29"/>
      <c r="D14" s="29" t="s">
        <v>155</v>
      </c>
      <c r="E14" s="225" t="s">
        <v>156</v>
      </c>
      <c r="F14" s="225"/>
      <c r="G14" s="29"/>
      <c r="H14" s="30">
        <f>SUM(H15:H18)</f>
        <v>14142250</v>
      </c>
      <c r="I14" s="30">
        <f>SUM(I15:I18)</f>
        <v>14142250</v>
      </c>
      <c r="K14" s="87"/>
      <c r="L14" s="87"/>
      <c r="M14" s="88"/>
      <c r="N14" s="87"/>
    </row>
    <row r="15" spans="1:14" s="14" customFormat="1" ht="15.75" customHeight="1">
      <c r="A15" s="103" t="s">
        <v>390</v>
      </c>
      <c r="B15" s="28"/>
      <c r="C15" s="29"/>
      <c r="D15" s="29"/>
      <c r="E15" s="29"/>
      <c r="F15" s="31" t="s">
        <v>157</v>
      </c>
      <c r="G15" s="29"/>
      <c r="H15" s="32">
        <v>7800000</v>
      </c>
      <c r="I15" s="32">
        <v>7800000</v>
      </c>
      <c r="K15" s="87"/>
      <c r="L15" s="87"/>
      <c r="M15" s="88"/>
      <c r="N15" s="87"/>
    </row>
    <row r="16" spans="1:14" s="14" customFormat="1" ht="15.75" customHeight="1">
      <c r="A16" s="103" t="s">
        <v>391</v>
      </c>
      <c r="B16" s="28"/>
      <c r="C16" s="29"/>
      <c r="D16" s="29"/>
      <c r="E16" s="29"/>
      <c r="F16" s="31" t="s">
        <v>152</v>
      </c>
      <c r="G16" s="29"/>
      <c r="H16" s="32">
        <v>156250</v>
      </c>
      <c r="I16" s="32">
        <v>156250</v>
      </c>
      <c r="K16" s="87"/>
      <c r="L16" s="89"/>
      <c r="M16" s="88"/>
      <c r="N16" s="87"/>
    </row>
    <row r="17" spans="1:14" s="14" customFormat="1" ht="15.75" customHeight="1">
      <c r="A17" s="103" t="s">
        <v>392</v>
      </c>
      <c r="B17" s="28"/>
      <c r="C17" s="29"/>
      <c r="D17" s="29"/>
      <c r="E17" s="29"/>
      <c r="F17" s="31" t="s">
        <v>158</v>
      </c>
      <c r="G17" s="29"/>
      <c r="H17" s="32">
        <v>4800000</v>
      </c>
      <c r="I17" s="32">
        <v>4800000</v>
      </c>
      <c r="K17" s="87"/>
      <c r="L17" s="89"/>
      <c r="M17" s="88"/>
      <c r="N17" s="87"/>
    </row>
    <row r="18" spans="1:14" s="14" customFormat="1" ht="15.75" customHeight="1">
      <c r="A18" s="103" t="s">
        <v>393</v>
      </c>
      <c r="B18" s="28"/>
      <c r="C18" s="29"/>
      <c r="D18" s="29"/>
      <c r="E18" s="31"/>
      <c r="F18" s="31" t="s">
        <v>159</v>
      </c>
      <c r="G18" s="29"/>
      <c r="H18" s="32">
        <v>1386000</v>
      </c>
      <c r="I18" s="32">
        <v>1386000</v>
      </c>
      <c r="K18" s="87"/>
      <c r="L18" s="89"/>
      <c r="M18" s="88"/>
      <c r="N18" s="87"/>
    </row>
    <row r="19" spans="1:14" s="14" customFormat="1" ht="15.75" customHeight="1">
      <c r="A19" s="103" t="s">
        <v>394</v>
      </c>
      <c r="B19" s="28"/>
      <c r="C19" s="29"/>
      <c r="D19" s="29" t="s">
        <v>160</v>
      </c>
      <c r="E19" s="225" t="s">
        <v>161</v>
      </c>
      <c r="F19" s="225"/>
      <c r="G19" s="29"/>
      <c r="H19" s="30">
        <v>720000</v>
      </c>
      <c r="I19" s="30">
        <v>720000</v>
      </c>
      <c r="K19" s="87"/>
      <c r="L19" s="89"/>
      <c r="M19" s="88"/>
      <c r="N19" s="87"/>
    </row>
    <row r="20" spans="1:14" s="14" customFormat="1" ht="15.75" customHeight="1">
      <c r="A20" s="103" t="s">
        <v>395</v>
      </c>
      <c r="B20" s="25" t="s">
        <v>25</v>
      </c>
      <c r="C20" s="26"/>
      <c r="D20" s="234" t="s">
        <v>162</v>
      </c>
      <c r="E20" s="234"/>
      <c r="F20" s="234"/>
      <c r="G20" s="33"/>
      <c r="H20" s="27">
        <f>SUM(H21:H22)</f>
        <v>1955530</v>
      </c>
      <c r="I20" s="27">
        <f>SUM(I21:I22)</f>
        <v>1955530</v>
      </c>
      <c r="K20" s="87"/>
      <c r="L20" s="87"/>
      <c r="M20" s="88"/>
      <c r="N20" s="87"/>
    </row>
    <row r="21" spans="1:14" s="14" customFormat="1" ht="15.75" customHeight="1">
      <c r="A21" s="103" t="s">
        <v>396</v>
      </c>
      <c r="B21" s="28"/>
      <c r="C21" s="29"/>
      <c r="D21" s="29"/>
      <c r="E21" s="237" t="s">
        <v>163</v>
      </c>
      <c r="F21" s="237"/>
      <c r="G21" s="29"/>
      <c r="H21" s="30">
        <f>(H14+H19)*0.13</f>
        <v>1932092.5</v>
      </c>
      <c r="I21" s="30">
        <f>(I14+I19)*0.13</f>
        <v>1932092.5</v>
      </c>
      <c r="K21" s="87"/>
      <c r="L21" s="87"/>
      <c r="M21" s="88"/>
      <c r="N21" s="87"/>
    </row>
    <row r="22" spans="1:14" s="14" customFormat="1" ht="15.75" customHeight="1">
      <c r="A22" s="103" t="s">
        <v>397</v>
      </c>
      <c r="B22" s="28"/>
      <c r="C22" s="29"/>
      <c r="D22" s="29"/>
      <c r="E22" s="237" t="s">
        <v>164</v>
      </c>
      <c r="F22" s="237"/>
      <c r="G22" s="29"/>
      <c r="H22" s="30">
        <f>H16*0.15</f>
        <v>23437.5</v>
      </c>
      <c r="I22" s="30">
        <f>I16*0.15</f>
        <v>23437.5</v>
      </c>
      <c r="K22" s="87"/>
      <c r="L22" s="87"/>
      <c r="M22" s="88"/>
      <c r="N22" s="87"/>
    </row>
    <row r="23" spans="1:14" s="14" customFormat="1" ht="15.75" customHeight="1">
      <c r="A23" s="103" t="s">
        <v>398</v>
      </c>
      <c r="B23" s="25" t="s">
        <v>27</v>
      </c>
      <c r="C23" s="26"/>
      <c r="D23" s="234" t="s">
        <v>28</v>
      </c>
      <c r="E23" s="234"/>
      <c r="F23" s="234"/>
      <c r="G23" s="29"/>
      <c r="H23" s="27">
        <f>H24+H27+H30+H35</f>
        <v>14985000</v>
      </c>
      <c r="I23" s="27">
        <f>I24+I27+I30+I35</f>
        <v>15163868</v>
      </c>
      <c r="K23" s="87"/>
      <c r="L23" s="87"/>
      <c r="M23" s="88"/>
      <c r="N23" s="87"/>
    </row>
    <row r="24" spans="1:14" s="17" customFormat="1" ht="15.75" customHeight="1">
      <c r="A24" s="103" t="s">
        <v>399</v>
      </c>
      <c r="B24" s="34"/>
      <c r="C24" s="26" t="s">
        <v>165</v>
      </c>
      <c r="D24" s="35"/>
      <c r="E24" s="234" t="s">
        <v>166</v>
      </c>
      <c r="F24" s="234"/>
      <c r="G24" s="34"/>
      <c r="H24" s="27">
        <f>H25+H26</f>
        <v>1000000</v>
      </c>
      <c r="I24" s="27">
        <f>I25+I26</f>
        <v>1000000</v>
      </c>
      <c r="K24" s="90"/>
      <c r="L24" s="90"/>
      <c r="M24" s="90"/>
      <c r="N24" s="90"/>
    </row>
    <row r="25" spans="1:14" s="14" customFormat="1" ht="15.75" customHeight="1">
      <c r="A25" s="103" t="s">
        <v>400</v>
      </c>
      <c r="B25" s="28"/>
      <c r="C25" s="29"/>
      <c r="D25" s="29" t="s">
        <v>167</v>
      </c>
      <c r="E25" s="225" t="s">
        <v>168</v>
      </c>
      <c r="F25" s="225"/>
      <c r="G25" s="34"/>
      <c r="H25" s="30">
        <v>100000</v>
      </c>
      <c r="I25" s="30">
        <v>100000</v>
      </c>
      <c r="K25" s="87"/>
      <c r="L25" s="87"/>
      <c r="M25" s="87"/>
      <c r="N25" s="87"/>
    </row>
    <row r="26" spans="1:14" s="14" customFormat="1" ht="15.75" customHeight="1">
      <c r="A26" s="103" t="s">
        <v>401</v>
      </c>
      <c r="B26" s="28"/>
      <c r="C26" s="29"/>
      <c r="D26" s="29" t="s">
        <v>170</v>
      </c>
      <c r="E26" s="225" t="s">
        <v>171</v>
      </c>
      <c r="F26" s="225"/>
      <c r="G26" s="29"/>
      <c r="H26" s="30">
        <v>900000</v>
      </c>
      <c r="I26" s="30">
        <v>900000</v>
      </c>
      <c r="K26" s="87"/>
      <c r="L26" s="87"/>
      <c r="M26" s="87"/>
      <c r="N26" s="87"/>
    </row>
    <row r="27" spans="1:9" s="17" customFormat="1" ht="15.75" customHeight="1">
      <c r="A27" s="103" t="s">
        <v>402</v>
      </c>
      <c r="B27" s="34"/>
      <c r="C27" s="26" t="s">
        <v>173</v>
      </c>
      <c r="D27" s="35"/>
      <c r="E27" s="234" t="s">
        <v>174</v>
      </c>
      <c r="F27" s="234"/>
      <c r="G27" s="31"/>
      <c r="H27" s="27">
        <f>H28+H29</f>
        <v>1450000</v>
      </c>
      <c r="I27" s="27">
        <f>I28+I29</f>
        <v>1450000</v>
      </c>
    </row>
    <row r="28" spans="1:9" s="14" customFormat="1" ht="15.75" customHeight="1">
      <c r="A28" s="103" t="s">
        <v>403</v>
      </c>
      <c r="B28" s="28"/>
      <c r="C28" s="29"/>
      <c r="D28" s="29" t="s">
        <v>175</v>
      </c>
      <c r="E28" s="225" t="s">
        <v>297</v>
      </c>
      <c r="F28" s="225"/>
      <c r="G28" s="29"/>
      <c r="H28" s="30">
        <v>1000000</v>
      </c>
      <c r="I28" s="30">
        <v>1000000</v>
      </c>
    </row>
    <row r="29" spans="1:9" s="14" customFormat="1" ht="15.75" customHeight="1">
      <c r="A29" s="103" t="s">
        <v>404</v>
      </c>
      <c r="B29" s="28"/>
      <c r="C29" s="29"/>
      <c r="D29" s="29" t="s">
        <v>177</v>
      </c>
      <c r="E29" s="225" t="s">
        <v>298</v>
      </c>
      <c r="F29" s="225"/>
      <c r="G29" s="29"/>
      <c r="H29" s="30">
        <v>450000</v>
      </c>
      <c r="I29" s="30">
        <v>450000</v>
      </c>
    </row>
    <row r="30" spans="1:9" s="17" customFormat="1" ht="15.75" customHeight="1">
      <c r="A30" s="103" t="s">
        <v>405</v>
      </c>
      <c r="B30" s="34"/>
      <c r="C30" s="26" t="s">
        <v>179</v>
      </c>
      <c r="D30" s="35"/>
      <c r="E30" s="234" t="s">
        <v>180</v>
      </c>
      <c r="F30" s="234"/>
      <c r="G30" s="31"/>
      <c r="H30" s="27">
        <f>H31+H32+H33+H34</f>
        <v>10900000</v>
      </c>
      <c r="I30" s="27">
        <f>I31+I32+I33+I34</f>
        <v>10900000</v>
      </c>
    </row>
    <row r="31" spans="1:9" s="14" customFormat="1" ht="15.75" customHeight="1">
      <c r="A31" s="103" t="s">
        <v>406</v>
      </c>
      <c r="B31" s="28"/>
      <c r="C31" s="29"/>
      <c r="D31" s="29" t="s">
        <v>181</v>
      </c>
      <c r="E31" s="225" t="s">
        <v>182</v>
      </c>
      <c r="F31" s="225"/>
      <c r="G31" s="29"/>
      <c r="H31" s="30">
        <v>2500000</v>
      </c>
      <c r="I31" s="30">
        <v>2500000</v>
      </c>
    </row>
    <row r="32" spans="1:9" s="14" customFormat="1" ht="15.75" customHeight="1">
      <c r="A32" s="103" t="s">
        <v>407</v>
      </c>
      <c r="B32" s="28"/>
      <c r="C32" s="29"/>
      <c r="D32" s="29" t="s">
        <v>183</v>
      </c>
      <c r="E32" s="225" t="s">
        <v>184</v>
      </c>
      <c r="F32" s="225"/>
      <c r="G32" s="29"/>
      <c r="H32" s="30">
        <v>200000</v>
      </c>
      <c r="I32" s="30">
        <v>200000</v>
      </c>
    </row>
    <row r="33" spans="1:9" s="14" customFormat="1" ht="15.75" customHeight="1">
      <c r="A33" s="103" t="s">
        <v>408</v>
      </c>
      <c r="B33" s="28"/>
      <c r="C33" s="29"/>
      <c r="D33" s="29" t="s">
        <v>185</v>
      </c>
      <c r="E33" s="225" t="s">
        <v>186</v>
      </c>
      <c r="F33" s="225"/>
      <c r="G33" s="29"/>
      <c r="H33" s="30">
        <v>200000</v>
      </c>
      <c r="I33" s="30">
        <v>200000</v>
      </c>
    </row>
    <row r="34" spans="1:9" s="14" customFormat="1" ht="15.75" customHeight="1">
      <c r="A34" s="103" t="s">
        <v>409</v>
      </c>
      <c r="B34" s="28"/>
      <c r="C34" s="29"/>
      <c r="D34" s="29" t="s">
        <v>187</v>
      </c>
      <c r="E34" s="225" t="s">
        <v>188</v>
      </c>
      <c r="F34" s="225"/>
      <c r="G34" s="29"/>
      <c r="H34" s="30">
        <v>8000000</v>
      </c>
      <c r="I34" s="30">
        <v>8000000</v>
      </c>
    </row>
    <row r="35" spans="1:9" s="17" customFormat="1" ht="15.75" customHeight="1">
      <c r="A35" s="103" t="s">
        <v>410</v>
      </c>
      <c r="B35" s="34"/>
      <c r="C35" s="26" t="s">
        <v>193</v>
      </c>
      <c r="D35" s="35"/>
      <c r="E35" s="234" t="s">
        <v>194</v>
      </c>
      <c r="F35" s="234"/>
      <c r="G35" s="31"/>
      <c r="H35" s="27">
        <f>H36+H38</f>
        <v>1635000</v>
      </c>
      <c r="I35" s="27">
        <f>I36+I38+I37</f>
        <v>1813868</v>
      </c>
    </row>
    <row r="36" spans="1:9" s="14" customFormat="1" ht="15.75" customHeight="1">
      <c r="A36" s="103" t="s">
        <v>411</v>
      </c>
      <c r="B36" s="28"/>
      <c r="C36" s="29"/>
      <c r="D36" s="29" t="s">
        <v>195</v>
      </c>
      <c r="E36" s="225" t="s">
        <v>196</v>
      </c>
      <c r="F36" s="225"/>
      <c r="G36" s="29"/>
      <c r="H36" s="37">
        <v>1630000</v>
      </c>
      <c r="I36" s="37">
        <v>1630000</v>
      </c>
    </row>
    <row r="37" spans="1:9" s="14" customFormat="1" ht="15.75" customHeight="1">
      <c r="A37" s="103" t="s">
        <v>412</v>
      </c>
      <c r="B37" s="28"/>
      <c r="C37" s="29"/>
      <c r="D37" s="29" t="s">
        <v>823</v>
      </c>
      <c r="E37" s="225" t="s">
        <v>824</v>
      </c>
      <c r="F37" s="225"/>
      <c r="G37" s="29"/>
      <c r="H37" s="37"/>
      <c r="I37" s="37">
        <f>8600+170268</f>
        <v>178868</v>
      </c>
    </row>
    <row r="38" spans="1:9" s="14" customFormat="1" ht="15.75" customHeight="1">
      <c r="A38" s="103" t="s">
        <v>413</v>
      </c>
      <c r="B38" s="28"/>
      <c r="C38" s="29"/>
      <c r="D38" s="29" t="s">
        <v>327</v>
      </c>
      <c r="E38" s="225" t="s">
        <v>328</v>
      </c>
      <c r="F38" s="225"/>
      <c r="G38" s="29"/>
      <c r="H38" s="37">
        <v>5000</v>
      </c>
      <c r="I38" s="37">
        <v>5000</v>
      </c>
    </row>
    <row r="39" spans="1:9" s="18" customFormat="1" ht="15.75" customHeight="1">
      <c r="A39" s="103" t="s">
        <v>414</v>
      </c>
      <c r="B39" s="25" t="s">
        <v>31</v>
      </c>
      <c r="C39" s="26"/>
      <c r="D39" s="234" t="s">
        <v>32</v>
      </c>
      <c r="E39" s="234"/>
      <c r="F39" s="234"/>
      <c r="G39" s="26"/>
      <c r="H39" s="27">
        <f>H40+H43</f>
        <v>21800000</v>
      </c>
      <c r="I39" s="27">
        <f>I40+I43</f>
        <v>26406525</v>
      </c>
    </row>
    <row r="40" spans="1:9" s="14" customFormat="1" ht="15.75" customHeight="1">
      <c r="A40" s="103" t="s">
        <v>415</v>
      </c>
      <c r="B40" s="28"/>
      <c r="C40" s="29"/>
      <c r="D40" s="29" t="s">
        <v>198</v>
      </c>
      <c r="E40" s="225" t="s">
        <v>199</v>
      </c>
      <c r="F40" s="225"/>
      <c r="G40" s="29"/>
      <c r="H40" s="27">
        <f>H41</f>
        <v>1800000</v>
      </c>
      <c r="I40" s="27">
        <f>I41+I42</f>
        <v>9283700</v>
      </c>
    </row>
    <row r="41" spans="1:9" s="14" customFormat="1" ht="15.75" customHeight="1">
      <c r="A41" s="103" t="s">
        <v>416</v>
      </c>
      <c r="B41" s="28"/>
      <c r="C41" s="29"/>
      <c r="D41" s="29"/>
      <c r="E41" s="29"/>
      <c r="F41" s="29" t="s">
        <v>290</v>
      </c>
      <c r="G41" s="29"/>
      <c r="H41" s="30">
        <v>1800000</v>
      </c>
      <c r="I41" s="30">
        <v>1800000</v>
      </c>
    </row>
    <row r="42" spans="1:9" s="14" customFormat="1" ht="15.75" customHeight="1">
      <c r="A42" s="103" t="s">
        <v>417</v>
      </c>
      <c r="B42" s="28"/>
      <c r="C42" s="29"/>
      <c r="D42" s="29"/>
      <c r="E42" s="29"/>
      <c r="F42" s="29" t="s">
        <v>840</v>
      </c>
      <c r="G42" s="29"/>
      <c r="H42" s="30"/>
      <c r="I42" s="30">
        <v>7483700</v>
      </c>
    </row>
    <row r="43" spans="1:9" s="14" customFormat="1" ht="15.75" customHeight="1">
      <c r="A43" s="103" t="s">
        <v>418</v>
      </c>
      <c r="B43" s="28"/>
      <c r="C43" s="29"/>
      <c r="D43" s="29" t="s">
        <v>200</v>
      </c>
      <c r="E43" s="225" t="s">
        <v>201</v>
      </c>
      <c r="F43" s="225"/>
      <c r="G43" s="29"/>
      <c r="H43" s="30">
        <v>20000000</v>
      </c>
      <c r="I43" s="30">
        <f>20000000-1607175-635000-635000</f>
        <v>17122825</v>
      </c>
    </row>
    <row r="44" spans="1:9" s="14" customFormat="1" ht="15.75" customHeight="1">
      <c r="A44" s="103" t="s">
        <v>419</v>
      </c>
      <c r="B44" s="38" t="s">
        <v>34</v>
      </c>
      <c r="C44" s="29"/>
      <c r="D44" s="26" t="s">
        <v>35</v>
      </c>
      <c r="E44" s="29"/>
      <c r="F44" s="29"/>
      <c r="G44" s="29"/>
      <c r="H44" s="27">
        <f>SUM(H45:H47)</f>
        <v>0</v>
      </c>
      <c r="I44" s="27">
        <f>SUM(I45:I47)</f>
        <v>0</v>
      </c>
    </row>
    <row r="45" spans="1:9" s="14" customFormat="1" ht="15.75" customHeight="1">
      <c r="A45" s="103" t="s">
        <v>420</v>
      </c>
      <c r="B45" s="38"/>
      <c r="C45" s="29"/>
      <c r="D45" s="29" t="s">
        <v>333</v>
      </c>
      <c r="E45" s="29"/>
      <c r="F45" s="29" t="s">
        <v>334</v>
      </c>
      <c r="G45" s="29"/>
      <c r="H45" s="30"/>
      <c r="I45" s="30"/>
    </row>
    <row r="46" spans="1:9" s="14" customFormat="1" ht="15.75" customHeight="1">
      <c r="A46" s="103" t="s">
        <v>421</v>
      </c>
      <c r="B46" s="38"/>
      <c r="C46" s="29"/>
      <c r="D46" s="29" t="s">
        <v>305</v>
      </c>
      <c r="E46" s="29"/>
      <c r="F46" s="29" t="s">
        <v>304</v>
      </c>
      <c r="G46" s="29"/>
      <c r="H46" s="30"/>
      <c r="I46" s="30"/>
    </row>
    <row r="47" spans="1:9" s="14" customFormat="1" ht="15.75" customHeight="1">
      <c r="A47" s="103" t="s">
        <v>422</v>
      </c>
      <c r="B47" s="28"/>
      <c r="C47" s="29"/>
      <c r="D47" s="29" t="s">
        <v>216</v>
      </c>
      <c r="E47" s="29"/>
      <c r="F47" s="29" t="s">
        <v>217</v>
      </c>
      <c r="G47" s="29"/>
      <c r="H47" s="30"/>
      <c r="I47" s="30"/>
    </row>
    <row r="48" spans="1:9" s="14" customFormat="1" ht="15.75" customHeight="1">
      <c r="A48" s="103" t="s">
        <v>423</v>
      </c>
      <c r="B48" s="28"/>
      <c r="C48" s="29"/>
      <c r="D48" s="29"/>
      <c r="E48" s="29"/>
      <c r="F48" s="29"/>
      <c r="G48" s="29"/>
      <c r="H48" s="30"/>
      <c r="I48" s="30"/>
    </row>
    <row r="49" spans="1:9" s="14" customFormat="1" ht="15.75" customHeight="1">
      <c r="A49" s="103" t="s">
        <v>424</v>
      </c>
      <c r="B49" s="192" t="s">
        <v>345</v>
      </c>
      <c r="C49" s="192"/>
      <c r="D49" s="192"/>
      <c r="E49" s="192"/>
      <c r="F49" s="192"/>
      <c r="G49" s="39"/>
      <c r="H49" s="24">
        <f>H50</f>
        <v>7558058</v>
      </c>
      <c r="I49" s="24">
        <f>I50</f>
        <v>8214258</v>
      </c>
    </row>
    <row r="50" spans="1:9" s="14" customFormat="1" ht="15.75" customHeight="1">
      <c r="A50" s="103" t="s">
        <v>425</v>
      </c>
      <c r="B50" s="71" t="s">
        <v>31</v>
      </c>
      <c r="C50" s="74"/>
      <c r="D50" s="238" t="s">
        <v>32</v>
      </c>
      <c r="E50" s="238"/>
      <c r="F50" s="238"/>
      <c r="G50" s="26"/>
      <c r="H50" s="27">
        <f>H51</f>
        <v>7558058</v>
      </c>
      <c r="I50" s="27">
        <f>I51</f>
        <v>8214258</v>
      </c>
    </row>
    <row r="51" spans="1:9" s="14" customFormat="1" ht="15.75" customHeight="1">
      <c r="A51" s="103" t="s">
        <v>426</v>
      </c>
      <c r="B51" s="73"/>
      <c r="C51" s="74"/>
      <c r="D51" s="74" t="s">
        <v>346</v>
      </c>
      <c r="E51" s="240" t="s">
        <v>347</v>
      </c>
      <c r="F51" s="240"/>
      <c r="G51" s="26"/>
      <c r="H51" s="30">
        <v>7558058</v>
      </c>
      <c r="I51" s="30">
        <f>7558058+656200</f>
        <v>8214258</v>
      </c>
    </row>
    <row r="52" spans="1:9" s="14" customFormat="1" ht="15.75" customHeight="1">
      <c r="A52" s="103" t="s">
        <v>427</v>
      </c>
      <c r="B52" s="73"/>
      <c r="C52" s="74"/>
      <c r="D52" s="74"/>
      <c r="E52" s="74"/>
      <c r="F52" s="74"/>
      <c r="G52" s="26"/>
      <c r="H52" s="30"/>
      <c r="I52" s="30"/>
    </row>
    <row r="53" spans="1:9" s="14" customFormat="1" ht="15.75" customHeight="1">
      <c r="A53" s="103" t="s">
        <v>428</v>
      </c>
      <c r="B53" s="192" t="s">
        <v>202</v>
      </c>
      <c r="C53" s="192"/>
      <c r="D53" s="192"/>
      <c r="E53" s="192"/>
      <c r="F53" s="192"/>
      <c r="G53" s="39"/>
      <c r="H53" s="24">
        <f>H56+H54</f>
        <v>3634870</v>
      </c>
      <c r="I53" s="24">
        <f>I56+I54</f>
        <v>5150171</v>
      </c>
    </row>
    <row r="54" spans="1:9" s="14" customFormat="1" ht="15.75" customHeight="1">
      <c r="A54" s="103" t="s">
        <v>429</v>
      </c>
      <c r="B54" s="25" t="s">
        <v>31</v>
      </c>
      <c r="C54" s="26"/>
      <c r="D54" s="234" t="s">
        <v>32</v>
      </c>
      <c r="E54" s="234"/>
      <c r="F54" s="234"/>
      <c r="G54" s="78"/>
      <c r="H54" s="79">
        <f>SUM(H55)</f>
        <v>629000</v>
      </c>
      <c r="I54" s="79">
        <f>SUM(I55)</f>
        <v>629000</v>
      </c>
    </row>
    <row r="55" spans="1:9" s="14" customFormat="1" ht="15.75" customHeight="1">
      <c r="A55" s="103" t="s">
        <v>430</v>
      </c>
      <c r="B55" s="76"/>
      <c r="C55" s="77"/>
      <c r="D55" s="80" t="s">
        <v>337</v>
      </c>
      <c r="E55" s="77"/>
      <c r="F55" s="80" t="s">
        <v>338</v>
      </c>
      <c r="G55" s="78"/>
      <c r="H55" s="81">
        <v>629000</v>
      </c>
      <c r="I55" s="81">
        <v>629000</v>
      </c>
    </row>
    <row r="56" spans="1:9" s="14" customFormat="1" ht="15.75" customHeight="1">
      <c r="A56" s="103" t="s">
        <v>431</v>
      </c>
      <c r="B56" s="25" t="s">
        <v>41</v>
      </c>
      <c r="C56" s="29"/>
      <c r="D56" s="234" t="s">
        <v>40</v>
      </c>
      <c r="E56" s="234"/>
      <c r="F56" s="234"/>
      <c r="G56" s="26"/>
      <c r="H56" s="27">
        <f>H57+H58</f>
        <v>3005870</v>
      </c>
      <c r="I56" s="27">
        <f>I57+I58</f>
        <v>4521171</v>
      </c>
    </row>
    <row r="57" spans="1:9" s="14" customFormat="1" ht="15.75" customHeight="1">
      <c r="A57" s="103" t="s">
        <v>432</v>
      </c>
      <c r="B57" s="25"/>
      <c r="C57" s="29"/>
      <c r="D57" s="29" t="s">
        <v>203</v>
      </c>
      <c r="E57" s="26"/>
      <c r="F57" s="29" t="s">
        <v>204</v>
      </c>
      <c r="G57" s="26"/>
      <c r="H57" s="30">
        <v>3005870</v>
      </c>
      <c r="I57" s="30">
        <v>3005870</v>
      </c>
    </row>
    <row r="58" spans="1:9" s="14" customFormat="1" ht="15.75" customHeight="1">
      <c r="A58" s="103" t="s">
        <v>433</v>
      </c>
      <c r="B58" s="25"/>
      <c r="C58" s="29"/>
      <c r="D58" s="26"/>
      <c r="E58" s="26"/>
      <c r="F58" s="29" t="s">
        <v>205</v>
      </c>
      <c r="G58" s="26"/>
      <c r="H58" s="30"/>
      <c r="I58" s="30">
        <v>1515301</v>
      </c>
    </row>
    <row r="59" spans="1:9" s="14" customFormat="1" ht="15.75" customHeight="1">
      <c r="A59" s="103" t="s">
        <v>434</v>
      </c>
      <c r="B59" s="25"/>
      <c r="C59" s="29"/>
      <c r="D59" s="26"/>
      <c r="E59" s="26"/>
      <c r="F59" s="29"/>
      <c r="G59" s="26"/>
      <c r="H59" s="92"/>
      <c r="I59" s="92"/>
    </row>
    <row r="60" spans="1:9" s="14" customFormat="1" ht="15.75" customHeight="1">
      <c r="A60" s="103" t="s">
        <v>435</v>
      </c>
      <c r="B60" s="192" t="s">
        <v>206</v>
      </c>
      <c r="C60" s="192"/>
      <c r="D60" s="192"/>
      <c r="E60" s="192"/>
      <c r="F60" s="192"/>
      <c r="G60" s="39"/>
      <c r="H60" s="24">
        <f>H61</f>
        <v>81774153</v>
      </c>
      <c r="I60" s="24">
        <f>I61</f>
        <v>81774153</v>
      </c>
    </row>
    <row r="61" spans="1:9" s="14" customFormat="1" ht="15.75" customHeight="1">
      <c r="A61" s="103" t="s">
        <v>436</v>
      </c>
      <c r="B61" s="25" t="s">
        <v>31</v>
      </c>
      <c r="C61" s="26"/>
      <c r="D61" s="234" t="s">
        <v>32</v>
      </c>
      <c r="E61" s="234"/>
      <c r="F61" s="234"/>
      <c r="G61" s="29"/>
      <c r="H61" s="27">
        <f>H65+H62</f>
        <v>81774153</v>
      </c>
      <c r="I61" s="27">
        <f>I65+I62</f>
        <v>81774153</v>
      </c>
    </row>
    <row r="62" spans="1:9" s="14" customFormat="1" ht="15.75" customHeight="1">
      <c r="A62" s="103" t="s">
        <v>437</v>
      </c>
      <c r="B62" s="25"/>
      <c r="C62" s="26"/>
      <c r="D62" s="29" t="s">
        <v>197</v>
      </c>
      <c r="E62" s="225" t="s">
        <v>310</v>
      </c>
      <c r="F62" s="225"/>
      <c r="G62" s="29"/>
      <c r="H62" s="27">
        <f>H63+H64</f>
        <v>26455547</v>
      </c>
      <c r="I62" s="27">
        <f>I63+I64</f>
        <v>26455547</v>
      </c>
    </row>
    <row r="63" spans="1:9" s="14" customFormat="1" ht="15.75" customHeight="1">
      <c r="A63" s="103" t="s">
        <v>438</v>
      </c>
      <c r="B63" s="25"/>
      <c r="C63" s="26"/>
      <c r="D63" s="26"/>
      <c r="E63" s="241" t="s">
        <v>311</v>
      </c>
      <c r="F63" s="241"/>
      <c r="G63" s="29"/>
      <c r="H63" s="30">
        <f>25190648+631303+444596</f>
        <v>26266547</v>
      </c>
      <c r="I63" s="30">
        <f>25190648+631303+444596</f>
        <v>26266547</v>
      </c>
    </row>
    <row r="64" spans="1:9" s="14" customFormat="1" ht="31.5" customHeight="1">
      <c r="A64" s="103" t="s">
        <v>439</v>
      </c>
      <c r="B64" s="25"/>
      <c r="C64" s="26"/>
      <c r="D64" s="26"/>
      <c r="E64" s="241" t="s">
        <v>313</v>
      </c>
      <c r="F64" s="241"/>
      <c r="G64" s="29"/>
      <c r="H64" s="30">
        <v>189000</v>
      </c>
      <c r="I64" s="30">
        <v>189000</v>
      </c>
    </row>
    <row r="65" spans="1:9" s="14" customFormat="1" ht="15.75">
      <c r="A65" s="103" t="s">
        <v>440</v>
      </c>
      <c r="B65" s="28"/>
      <c r="C65" s="29"/>
      <c r="D65" s="29" t="s">
        <v>197</v>
      </c>
      <c r="E65" s="241" t="s">
        <v>315</v>
      </c>
      <c r="F65" s="241"/>
      <c r="G65" s="29"/>
      <c r="H65" s="30">
        <f>SUM(H66:H70)</f>
        <v>55318606</v>
      </c>
      <c r="I65" s="30">
        <f>SUM(I66:I70)</f>
        <v>55318606</v>
      </c>
    </row>
    <row r="66" spans="1:9" s="14" customFormat="1" ht="15.75">
      <c r="A66" s="103" t="s">
        <v>441</v>
      </c>
      <c r="B66" s="28"/>
      <c r="C66" s="29"/>
      <c r="D66" s="29"/>
      <c r="E66" s="241" t="s">
        <v>314</v>
      </c>
      <c r="F66" s="241"/>
      <c r="G66" s="29"/>
      <c r="H66" s="30">
        <v>12481450</v>
      </c>
      <c r="I66" s="30">
        <v>12481450</v>
      </c>
    </row>
    <row r="67" spans="1:9" s="14" customFormat="1" ht="15.75" customHeight="1">
      <c r="A67" s="103" t="s">
        <v>442</v>
      </c>
      <c r="B67" s="28"/>
      <c r="C67" s="29"/>
      <c r="D67" s="29"/>
      <c r="E67" s="225" t="s">
        <v>363</v>
      </c>
      <c r="F67" s="225"/>
      <c r="G67" s="29"/>
      <c r="H67" s="30">
        <v>34849658</v>
      </c>
      <c r="I67" s="30">
        <v>34849658</v>
      </c>
    </row>
    <row r="68" spans="1:9" s="14" customFormat="1" ht="15.75" customHeight="1">
      <c r="A68" s="103" t="s">
        <v>443</v>
      </c>
      <c r="B68" s="28"/>
      <c r="C68" s="29"/>
      <c r="D68" s="29"/>
      <c r="E68" s="225" t="s">
        <v>207</v>
      </c>
      <c r="F68" s="225"/>
      <c r="G68" s="29"/>
      <c r="H68" s="30">
        <v>3107498</v>
      </c>
      <c r="I68" s="30">
        <v>3107498</v>
      </c>
    </row>
    <row r="69" spans="1:9" s="14" customFormat="1" ht="15.75" customHeight="1">
      <c r="A69" s="103" t="s">
        <v>444</v>
      </c>
      <c r="B69" s="28"/>
      <c r="C69" s="29"/>
      <c r="D69" s="29"/>
      <c r="E69" s="225" t="s">
        <v>208</v>
      </c>
      <c r="F69" s="225"/>
      <c r="G69" s="29"/>
      <c r="H69" s="30">
        <v>380000</v>
      </c>
      <c r="I69" s="30">
        <v>380000</v>
      </c>
    </row>
    <row r="70" spans="1:9" s="14" customFormat="1" ht="15.75" customHeight="1">
      <c r="A70" s="103" t="s">
        <v>445</v>
      </c>
      <c r="B70" s="28"/>
      <c r="C70" s="29"/>
      <c r="D70" s="29"/>
      <c r="E70" s="225" t="s">
        <v>312</v>
      </c>
      <c r="F70" s="225"/>
      <c r="G70" s="29"/>
      <c r="H70" s="30">
        <v>4500000</v>
      </c>
      <c r="I70" s="30">
        <v>4500000</v>
      </c>
    </row>
    <row r="71" spans="1:9" s="14" customFormat="1" ht="15.75" customHeight="1">
      <c r="A71" s="103" t="s">
        <v>446</v>
      </c>
      <c r="B71" s="25"/>
      <c r="C71" s="29"/>
      <c r="D71" s="26"/>
      <c r="E71" s="26"/>
      <c r="F71" s="29"/>
      <c r="G71" s="26"/>
      <c r="H71" s="30"/>
      <c r="I71" s="30"/>
    </row>
    <row r="72" spans="1:9" s="14" customFormat="1" ht="15.75" customHeight="1">
      <c r="A72" s="103" t="s">
        <v>447</v>
      </c>
      <c r="B72" s="192" t="s">
        <v>209</v>
      </c>
      <c r="C72" s="192"/>
      <c r="D72" s="192"/>
      <c r="E72" s="192"/>
      <c r="F72" s="192"/>
      <c r="G72" s="40">
        <v>0.5</v>
      </c>
      <c r="H72" s="24">
        <f>H73+H78+H81</f>
        <v>2904030</v>
      </c>
      <c r="I72" s="24">
        <f>I73+I78+I81</f>
        <v>2904030</v>
      </c>
    </row>
    <row r="73" spans="1:9" s="14" customFormat="1" ht="15.75" customHeight="1">
      <c r="A73" s="103" t="s">
        <v>448</v>
      </c>
      <c r="B73" s="25" t="s">
        <v>23</v>
      </c>
      <c r="C73" s="26"/>
      <c r="D73" s="234" t="s">
        <v>146</v>
      </c>
      <c r="E73" s="234"/>
      <c r="F73" s="234"/>
      <c r="G73" s="23"/>
      <c r="H73" s="27">
        <f>H74</f>
        <v>1409125</v>
      </c>
      <c r="I73" s="27">
        <f>I74</f>
        <v>1409125</v>
      </c>
    </row>
    <row r="74" spans="1:9" s="14" customFormat="1" ht="15.75" customHeight="1">
      <c r="A74" s="103" t="s">
        <v>449</v>
      </c>
      <c r="B74" s="28"/>
      <c r="C74" s="26" t="s">
        <v>147</v>
      </c>
      <c r="D74" s="29"/>
      <c r="E74" s="225" t="s">
        <v>148</v>
      </c>
      <c r="F74" s="225"/>
      <c r="G74" s="29"/>
      <c r="H74" s="30">
        <f>SUM(H75:H77)</f>
        <v>1409125</v>
      </c>
      <c r="I74" s="30">
        <f>SUM(I75:I77)</f>
        <v>1409125</v>
      </c>
    </row>
    <row r="75" spans="1:9" s="14" customFormat="1" ht="15.75" customHeight="1">
      <c r="A75" s="103" t="s">
        <v>450</v>
      </c>
      <c r="B75" s="21"/>
      <c r="C75" s="29"/>
      <c r="D75" s="29" t="s">
        <v>149</v>
      </c>
      <c r="E75" s="225" t="s">
        <v>150</v>
      </c>
      <c r="F75" s="225"/>
      <c r="G75" s="29"/>
      <c r="H75" s="30">
        <v>1280000</v>
      </c>
      <c r="I75" s="30">
        <v>1280000</v>
      </c>
    </row>
    <row r="76" spans="1:9" s="14" customFormat="1" ht="15.75" customHeight="1">
      <c r="A76" s="103" t="s">
        <v>451</v>
      </c>
      <c r="B76" s="21"/>
      <c r="C76" s="29"/>
      <c r="D76" s="29" t="s">
        <v>299</v>
      </c>
      <c r="E76" s="225" t="s">
        <v>308</v>
      </c>
      <c r="F76" s="225"/>
      <c r="G76" s="29"/>
      <c r="H76" s="30">
        <v>51000</v>
      </c>
      <c r="I76" s="30">
        <v>51000</v>
      </c>
    </row>
    <row r="77" spans="1:9" s="18" customFormat="1" ht="15.75" customHeight="1">
      <c r="A77" s="103" t="s">
        <v>452</v>
      </c>
      <c r="B77" s="28"/>
      <c r="C77" s="29"/>
      <c r="D77" s="29" t="s">
        <v>151</v>
      </c>
      <c r="E77" s="225" t="s">
        <v>152</v>
      </c>
      <c r="F77" s="225"/>
      <c r="G77" s="29"/>
      <c r="H77" s="30">
        <v>78125</v>
      </c>
      <c r="I77" s="30">
        <v>78125</v>
      </c>
    </row>
    <row r="78" spans="1:9" s="14" customFormat="1" ht="15.75" customHeight="1">
      <c r="A78" s="103" t="s">
        <v>453</v>
      </c>
      <c r="B78" s="25" t="s">
        <v>25</v>
      </c>
      <c r="C78" s="26"/>
      <c r="D78" s="234" t="s">
        <v>162</v>
      </c>
      <c r="E78" s="234"/>
      <c r="F78" s="234"/>
      <c r="G78" s="33"/>
      <c r="H78" s="27">
        <f>SUM(H79:H80)</f>
        <v>194905</v>
      </c>
      <c r="I78" s="27">
        <f>SUM(I79:I80)</f>
        <v>194905</v>
      </c>
    </row>
    <row r="79" spans="1:9" s="14" customFormat="1" ht="15.75" customHeight="1">
      <c r="A79" s="103" t="s">
        <v>454</v>
      </c>
      <c r="B79" s="28"/>
      <c r="C79" s="29"/>
      <c r="D79" s="29"/>
      <c r="E79" s="237" t="s">
        <v>163</v>
      </c>
      <c r="F79" s="237"/>
      <c r="G79" s="29"/>
      <c r="H79" s="30">
        <f>H74*0.13</f>
        <v>183186.25</v>
      </c>
      <c r="I79" s="30">
        <f>I74*0.13</f>
        <v>183186.25</v>
      </c>
    </row>
    <row r="80" spans="1:9" s="14" customFormat="1" ht="15.75" customHeight="1">
      <c r="A80" s="103" t="s">
        <v>455</v>
      </c>
      <c r="B80" s="28"/>
      <c r="C80" s="29"/>
      <c r="D80" s="29"/>
      <c r="E80" s="237" t="s">
        <v>164</v>
      </c>
      <c r="F80" s="237"/>
      <c r="G80" s="29"/>
      <c r="H80" s="30">
        <f>H77*0.15</f>
        <v>11718.75</v>
      </c>
      <c r="I80" s="30">
        <f>I77*0.15</f>
        <v>11718.75</v>
      </c>
    </row>
    <row r="81" spans="1:9" s="14" customFormat="1" ht="15.75" customHeight="1">
      <c r="A81" s="103" t="s">
        <v>456</v>
      </c>
      <c r="B81" s="25" t="s">
        <v>27</v>
      </c>
      <c r="C81" s="26"/>
      <c r="D81" s="234" t="s">
        <v>28</v>
      </c>
      <c r="E81" s="234"/>
      <c r="F81" s="234"/>
      <c r="G81" s="29"/>
      <c r="H81" s="27">
        <f>H82+H84+H88</f>
        <v>1300000</v>
      </c>
      <c r="I81" s="27">
        <f>I82+I84+I88</f>
        <v>1300000</v>
      </c>
    </row>
    <row r="82" spans="1:9" s="14" customFormat="1" ht="15.75" customHeight="1">
      <c r="A82" s="103" t="s">
        <v>457</v>
      </c>
      <c r="B82" s="34"/>
      <c r="C82" s="26" t="s">
        <v>165</v>
      </c>
      <c r="D82" s="35"/>
      <c r="E82" s="234" t="s">
        <v>166</v>
      </c>
      <c r="F82" s="234"/>
      <c r="G82" s="34"/>
      <c r="H82" s="27">
        <f>+H83</f>
        <v>200000</v>
      </c>
      <c r="I82" s="27">
        <f>+I83</f>
        <v>200000</v>
      </c>
    </row>
    <row r="83" spans="1:9" s="14" customFormat="1" ht="15.75" customHeight="1">
      <c r="A83" s="103" t="s">
        <v>458</v>
      </c>
      <c r="B83" s="28"/>
      <c r="C83" s="29"/>
      <c r="D83" s="29" t="s">
        <v>170</v>
      </c>
      <c r="E83" s="225" t="s">
        <v>171</v>
      </c>
      <c r="F83" s="225"/>
      <c r="G83" s="29"/>
      <c r="H83" s="30">
        <v>200000</v>
      </c>
      <c r="I83" s="30">
        <v>200000</v>
      </c>
    </row>
    <row r="84" spans="1:9" s="14" customFormat="1" ht="15.75" customHeight="1">
      <c r="A84" s="103" t="s">
        <v>459</v>
      </c>
      <c r="B84" s="34"/>
      <c r="C84" s="26" t="s">
        <v>179</v>
      </c>
      <c r="D84" s="35"/>
      <c r="E84" s="234" t="s">
        <v>180</v>
      </c>
      <c r="F84" s="234"/>
      <c r="G84" s="31"/>
      <c r="H84" s="27">
        <f>H85+H86+H87</f>
        <v>850000</v>
      </c>
      <c r="I84" s="27">
        <f>I85+I86+I87</f>
        <v>850000</v>
      </c>
    </row>
    <row r="85" spans="1:9" s="14" customFormat="1" ht="15.75" customHeight="1">
      <c r="A85" s="103" t="s">
        <v>460</v>
      </c>
      <c r="B85" s="28"/>
      <c r="C85" s="29"/>
      <c r="D85" s="29" t="s">
        <v>181</v>
      </c>
      <c r="E85" s="225" t="s">
        <v>182</v>
      </c>
      <c r="F85" s="225"/>
      <c r="G85" s="29"/>
      <c r="H85" s="30">
        <v>150000</v>
      </c>
      <c r="I85" s="30">
        <v>150000</v>
      </c>
    </row>
    <row r="86" spans="1:9" s="14" customFormat="1" ht="15.75" customHeight="1">
      <c r="A86" s="103" t="s">
        <v>461</v>
      </c>
      <c r="B86" s="28"/>
      <c r="C86" s="29"/>
      <c r="D86" s="29" t="s">
        <v>185</v>
      </c>
      <c r="E86" s="225" t="s">
        <v>186</v>
      </c>
      <c r="F86" s="225"/>
      <c r="G86" s="29"/>
      <c r="H86" s="30">
        <v>200000</v>
      </c>
      <c r="I86" s="30">
        <v>200000</v>
      </c>
    </row>
    <row r="87" spans="1:9" s="14" customFormat="1" ht="15.75" customHeight="1">
      <c r="A87" s="103" t="s">
        <v>462</v>
      </c>
      <c r="B87" s="28"/>
      <c r="C87" s="29"/>
      <c r="D87" s="29" t="s">
        <v>187</v>
      </c>
      <c r="E87" s="225" t="s">
        <v>188</v>
      </c>
      <c r="F87" s="225"/>
      <c r="G87" s="29"/>
      <c r="H87" s="30">
        <v>500000</v>
      </c>
      <c r="I87" s="30">
        <v>500000</v>
      </c>
    </row>
    <row r="88" spans="1:9" s="14" customFormat="1" ht="15.75" customHeight="1">
      <c r="A88" s="103" t="s">
        <v>463</v>
      </c>
      <c r="B88" s="34"/>
      <c r="C88" s="26" t="s">
        <v>193</v>
      </c>
      <c r="D88" s="35"/>
      <c r="E88" s="234" t="s">
        <v>194</v>
      </c>
      <c r="F88" s="234"/>
      <c r="G88" s="31"/>
      <c r="H88" s="27">
        <f>H89</f>
        <v>250000</v>
      </c>
      <c r="I88" s="27">
        <f>I89</f>
        <v>250000</v>
      </c>
    </row>
    <row r="89" spans="1:9" s="14" customFormat="1" ht="15.75" customHeight="1">
      <c r="A89" s="103" t="s">
        <v>464</v>
      </c>
      <c r="B89" s="28"/>
      <c r="C89" s="29"/>
      <c r="D89" s="29" t="s">
        <v>195</v>
      </c>
      <c r="E89" s="225" t="s">
        <v>196</v>
      </c>
      <c r="F89" s="225"/>
      <c r="G89" s="29"/>
      <c r="H89" s="37">
        <v>250000</v>
      </c>
      <c r="I89" s="37">
        <v>250000</v>
      </c>
    </row>
    <row r="90" spans="1:9" s="14" customFormat="1" ht="15.75" customHeight="1">
      <c r="A90" s="103" t="s">
        <v>465</v>
      </c>
      <c r="B90" s="28"/>
      <c r="C90" s="29"/>
      <c r="D90" s="29"/>
      <c r="E90" s="29"/>
      <c r="F90" s="29"/>
      <c r="G90" s="34"/>
      <c r="H90" s="32"/>
      <c r="I90" s="32"/>
    </row>
    <row r="91" spans="1:9" s="14" customFormat="1" ht="15.75" customHeight="1">
      <c r="A91" s="103" t="s">
        <v>466</v>
      </c>
      <c r="B91" s="192" t="s">
        <v>78</v>
      </c>
      <c r="C91" s="192"/>
      <c r="D91" s="192"/>
      <c r="E91" s="192"/>
      <c r="F91" s="192"/>
      <c r="G91" s="42"/>
      <c r="H91" s="24">
        <f>H92</f>
        <v>67127814</v>
      </c>
      <c r="I91" s="24">
        <f>I92</f>
        <v>67127814</v>
      </c>
    </row>
    <row r="92" spans="1:9" s="14" customFormat="1" ht="15.75" customHeight="1">
      <c r="A92" s="103" t="s">
        <v>467</v>
      </c>
      <c r="B92" s="25" t="s">
        <v>27</v>
      </c>
      <c r="C92" s="26"/>
      <c r="D92" s="234" t="s">
        <v>28</v>
      </c>
      <c r="E92" s="234"/>
      <c r="F92" s="234"/>
      <c r="G92" s="34"/>
      <c r="H92" s="27">
        <f>H93+H96</f>
        <v>67127814</v>
      </c>
      <c r="I92" s="27">
        <f>I93+I96</f>
        <v>67127814</v>
      </c>
    </row>
    <row r="93" spans="1:9" s="14" customFormat="1" ht="15.75" customHeight="1">
      <c r="A93" s="103" t="s">
        <v>468</v>
      </c>
      <c r="B93" s="34"/>
      <c r="C93" s="26" t="s">
        <v>179</v>
      </c>
      <c r="D93" s="35"/>
      <c r="E93" s="234" t="s">
        <v>180</v>
      </c>
      <c r="F93" s="234"/>
      <c r="G93" s="34"/>
      <c r="H93" s="27">
        <f>SUM(H94:H95)</f>
        <v>36908798</v>
      </c>
      <c r="I93" s="27">
        <f>SUM(I94:I95)</f>
        <v>36908798</v>
      </c>
    </row>
    <row r="94" spans="1:9" s="14" customFormat="1" ht="15.75" customHeight="1">
      <c r="A94" s="103" t="s">
        <v>469</v>
      </c>
      <c r="B94" s="34"/>
      <c r="C94" s="29"/>
      <c r="D94" s="29" t="s">
        <v>183</v>
      </c>
      <c r="E94" s="225" t="s">
        <v>211</v>
      </c>
      <c r="F94" s="225"/>
      <c r="G94" s="34"/>
      <c r="H94" s="30">
        <v>34908798</v>
      </c>
      <c r="I94" s="30">
        <v>34908798</v>
      </c>
    </row>
    <row r="95" spans="1:9" s="14" customFormat="1" ht="15.75" customHeight="1">
      <c r="A95" s="103" t="s">
        <v>470</v>
      </c>
      <c r="B95" s="28"/>
      <c r="C95" s="29"/>
      <c r="D95" s="29" t="s">
        <v>212</v>
      </c>
      <c r="E95" s="225" t="s">
        <v>213</v>
      </c>
      <c r="F95" s="225"/>
      <c r="G95" s="34"/>
      <c r="H95" s="30">
        <v>2000000</v>
      </c>
      <c r="I95" s="30">
        <v>2000000</v>
      </c>
    </row>
    <row r="96" spans="1:9" s="14" customFormat="1" ht="15.75" customHeight="1">
      <c r="A96" s="103" t="s">
        <v>471</v>
      </c>
      <c r="B96" s="34"/>
      <c r="C96" s="26" t="s">
        <v>193</v>
      </c>
      <c r="D96" s="35"/>
      <c r="E96" s="234" t="s">
        <v>194</v>
      </c>
      <c r="F96" s="234"/>
      <c r="G96" s="34"/>
      <c r="H96" s="27">
        <f>SUM(H97:H98)</f>
        <v>30219016</v>
      </c>
      <c r="I96" s="27">
        <f>SUM(I97:I98)</f>
        <v>30219016</v>
      </c>
    </row>
    <row r="97" spans="1:9" s="14" customFormat="1" ht="15.75" customHeight="1">
      <c r="A97" s="103" t="s">
        <v>472</v>
      </c>
      <c r="B97" s="28"/>
      <c r="C97" s="29"/>
      <c r="D97" s="29" t="s">
        <v>195</v>
      </c>
      <c r="E97" s="225" t="s">
        <v>196</v>
      </c>
      <c r="F97" s="225"/>
      <c r="G97" s="34"/>
      <c r="H97" s="30">
        <v>9540000</v>
      </c>
      <c r="I97" s="30">
        <v>9540000</v>
      </c>
    </row>
    <row r="98" spans="1:9" s="14" customFormat="1" ht="15.75" customHeight="1">
      <c r="A98" s="103" t="s">
        <v>473</v>
      </c>
      <c r="B98" s="28"/>
      <c r="C98" s="29"/>
      <c r="D98" s="29" t="s">
        <v>214</v>
      </c>
      <c r="E98" s="225" t="s">
        <v>215</v>
      </c>
      <c r="F98" s="225"/>
      <c r="G98" s="34"/>
      <c r="H98" s="30">
        <v>20679016</v>
      </c>
      <c r="I98" s="30">
        <v>20679016</v>
      </c>
    </row>
    <row r="99" spans="1:9" s="14" customFormat="1" ht="15.75" customHeight="1">
      <c r="A99" s="103" t="s">
        <v>474</v>
      </c>
      <c r="B99" s="28"/>
      <c r="C99" s="21"/>
      <c r="D99" s="21"/>
      <c r="E99" s="21"/>
      <c r="F99" s="21"/>
      <c r="G99" s="29"/>
      <c r="H99" s="37"/>
      <c r="I99" s="37"/>
    </row>
    <row r="100" spans="1:9" s="14" customFormat="1" ht="15.75" customHeight="1">
      <c r="A100" s="103" t="s">
        <v>475</v>
      </c>
      <c r="B100" s="192" t="s">
        <v>218</v>
      </c>
      <c r="C100" s="192"/>
      <c r="D100" s="192"/>
      <c r="E100" s="192"/>
      <c r="F100" s="192"/>
      <c r="G100" s="41"/>
      <c r="H100" s="43">
        <f>SUM(H101)</f>
        <v>500000</v>
      </c>
      <c r="I100" s="43">
        <f>SUM(I101)</f>
        <v>500000</v>
      </c>
    </row>
    <row r="101" spans="1:9" s="14" customFormat="1" ht="15.75" customHeight="1">
      <c r="A101" s="103" t="s">
        <v>476</v>
      </c>
      <c r="B101" s="25" t="s">
        <v>31</v>
      </c>
      <c r="C101" s="26"/>
      <c r="D101" s="234" t="s">
        <v>32</v>
      </c>
      <c r="E101" s="234"/>
      <c r="F101" s="234"/>
      <c r="G101" s="29"/>
      <c r="H101" s="44">
        <f>SUM(H102)</f>
        <v>500000</v>
      </c>
      <c r="I101" s="44">
        <f>SUM(I102)</f>
        <v>500000</v>
      </c>
    </row>
    <row r="102" spans="1:9" s="14" customFormat="1" ht="15.75" customHeight="1">
      <c r="A102" s="103" t="s">
        <v>477</v>
      </c>
      <c r="B102" s="28"/>
      <c r="C102" s="29"/>
      <c r="D102" s="29" t="s">
        <v>198</v>
      </c>
      <c r="E102" s="225" t="s">
        <v>199</v>
      </c>
      <c r="F102" s="225"/>
      <c r="G102" s="29"/>
      <c r="H102" s="45">
        <f>H103</f>
        <v>500000</v>
      </c>
      <c r="I102" s="45">
        <f>I103</f>
        <v>500000</v>
      </c>
    </row>
    <row r="103" spans="1:9" s="14" customFormat="1" ht="15.75" customHeight="1">
      <c r="A103" s="103" t="s">
        <v>478</v>
      </c>
      <c r="B103" s="28"/>
      <c r="C103" s="29"/>
      <c r="D103" s="29"/>
      <c r="E103" s="29"/>
      <c r="F103" s="29" t="s">
        <v>219</v>
      </c>
      <c r="G103" s="29"/>
      <c r="H103" s="37">
        <v>500000</v>
      </c>
      <c r="I103" s="37">
        <v>500000</v>
      </c>
    </row>
    <row r="104" spans="1:9" s="14" customFormat="1" ht="15.75" customHeight="1">
      <c r="A104" s="103" t="s">
        <v>479</v>
      </c>
      <c r="B104" s="28"/>
      <c r="C104" s="29"/>
      <c r="D104" s="29"/>
      <c r="E104" s="29"/>
      <c r="F104" s="29"/>
      <c r="G104" s="29"/>
      <c r="H104" s="37"/>
      <c r="I104" s="37"/>
    </row>
    <row r="105" spans="1:9" s="14" customFormat="1" ht="15.75" customHeight="1">
      <c r="A105" s="103" t="s">
        <v>480</v>
      </c>
      <c r="B105" s="192" t="s">
        <v>220</v>
      </c>
      <c r="C105" s="192"/>
      <c r="D105" s="192"/>
      <c r="E105" s="192"/>
      <c r="F105" s="192"/>
      <c r="G105" s="41"/>
      <c r="H105" s="43">
        <f>SUM(H107)</f>
        <v>300000</v>
      </c>
      <c r="I105" s="43">
        <f>SUM(I107)</f>
        <v>300000</v>
      </c>
    </row>
    <row r="106" spans="1:9" s="68" customFormat="1" ht="15.75" customHeight="1">
      <c r="A106" s="103" t="s">
        <v>481</v>
      </c>
      <c r="B106" s="25" t="s">
        <v>31</v>
      </c>
      <c r="C106" s="26"/>
      <c r="D106" s="234" t="s">
        <v>32</v>
      </c>
      <c r="E106" s="234"/>
      <c r="F106" s="234"/>
      <c r="G106" s="29"/>
      <c r="H106" s="44">
        <f>SUM(H107)</f>
        <v>300000</v>
      </c>
      <c r="I106" s="44">
        <f>SUM(I107)</f>
        <v>300000</v>
      </c>
    </row>
    <row r="107" spans="1:9" s="14" customFormat="1" ht="15.75" customHeight="1">
      <c r="A107" s="103" t="s">
        <v>482</v>
      </c>
      <c r="B107" s="28"/>
      <c r="C107" s="29"/>
      <c r="D107" s="29" t="s">
        <v>198</v>
      </c>
      <c r="E107" s="225" t="s">
        <v>199</v>
      </c>
      <c r="F107" s="225"/>
      <c r="G107" s="29"/>
      <c r="H107" s="37">
        <v>300000</v>
      </c>
      <c r="I107" s="37">
        <v>300000</v>
      </c>
    </row>
    <row r="108" spans="1:9" s="14" customFormat="1" ht="15.75" customHeight="1">
      <c r="A108" s="103" t="s">
        <v>483</v>
      </c>
      <c r="B108" s="28"/>
      <c r="C108" s="29"/>
      <c r="D108" s="29"/>
      <c r="E108" s="29"/>
      <c r="F108" s="29"/>
      <c r="G108" s="29"/>
      <c r="H108" s="37"/>
      <c r="I108" s="37"/>
    </row>
    <row r="109" spans="1:9" s="14" customFormat="1" ht="15.75" customHeight="1">
      <c r="A109" s="103" t="s">
        <v>484</v>
      </c>
      <c r="B109" s="192" t="s">
        <v>224</v>
      </c>
      <c r="C109" s="192"/>
      <c r="D109" s="192"/>
      <c r="E109" s="192"/>
      <c r="F109" s="192"/>
      <c r="G109" s="39"/>
      <c r="H109" s="24">
        <f>H110</f>
        <v>1900000</v>
      </c>
      <c r="I109" s="24">
        <f>I110</f>
        <v>1900000</v>
      </c>
    </row>
    <row r="110" spans="1:9" s="14" customFormat="1" ht="15.75" customHeight="1">
      <c r="A110" s="103" t="s">
        <v>485</v>
      </c>
      <c r="B110" s="25" t="s">
        <v>27</v>
      </c>
      <c r="C110" s="26"/>
      <c r="D110" s="234" t="s">
        <v>28</v>
      </c>
      <c r="E110" s="234"/>
      <c r="F110" s="234"/>
      <c r="G110" s="29"/>
      <c r="H110" s="27">
        <f>H111+H113+H115</f>
        <v>1900000</v>
      </c>
      <c r="I110" s="27">
        <f>I111+I113+I115</f>
        <v>1900000</v>
      </c>
    </row>
    <row r="111" spans="1:9" s="14" customFormat="1" ht="15.75" customHeight="1">
      <c r="A111" s="103" t="s">
        <v>486</v>
      </c>
      <c r="B111" s="34"/>
      <c r="C111" s="26" t="s">
        <v>165</v>
      </c>
      <c r="D111" s="35"/>
      <c r="E111" s="234" t="s">
        <v>166</v>
      </c>
      <c r="F111" s="234"/>
      <c r="G111" s="26"/>
      <c r="H111" s="27">
        <f>H112</f>
        <v>500000</v>
      </c>
      <c r="I111" s="27">
        <f>I112</f>
        <v>500000</v>
      </c>
    </row>
    <row r="112" spans="1:9" s="14" customFormat="1" ht="15.75" customHeight="1">
      <c r="A112" s="103" t="s">
        <v>487</v>
      </c>
      <c r="B112" s="28"/>
      <c r="C112" s="29"/>
      <c r="D112" s="29" t="s">
        <v>170</v>
      </c>
      <c r="E112" s="225" t="s">
        <v>171</v>
      </c>
      <c r="F112" s="225"/>
      <c r="G112" s="29"/>
      <c r="H112" s="30">
        <v>500000</v>
      </c>
      <c r="I112" s="30">
        <v>500000</v>
      </c>
    </row>
    <row r="113" spans="1:9" s="14" customFormat="1" ht="15.75" customHeight="1">
      <c r="A113" s="103" t="s">
        <v>488</v>
      </c>
      <c r="B113" s="34"/>
      <c r="C113" s="26" t="s">
        <v>179</v>
      </c>
      <c r="D113" s="35"/>
      <c r="E113" s="234" t="s">
        <v>180</v>
      </c>
      <c r="F113" s="234"/>
      <c r="G113" s="26"/>
      <c r="H113" s="27">
        <f>H114</f>
        <v>1000000</v>
      </c>
      <c r="I113" s="27">
        <f>I114</f>
        <v>1000000</v>
      </c>
    </row>
    <row r="114" spans="1:9" s="14" customFormat="1" ht="15.75" customHeight="1">
      <c r="A114" s="103" t="s">
        <v>489</v>
      </c>
      <c r="B114" s="28"/>
      <c r="C114" s="29"/>
      <c r="D114" s="29" t="s">
        <v>185</v>
      </c>
      <c r="E114" s="225" t="s">
        <v>186</v>
      </c>
      <c r="F114" s="225"/>
      <c r="G114" s="34"/>
      <c r="H114" s="30">
        <v>1000000</v>
      </c>
      <c r="I114" s="30">
        <v>1000000</v>
      </c>
    </row>
    <row r="115" spans="1:9" s="14" customFormat="1" ht="15.75" customHeight="1">
      <c r="A115" s="103" t="s">
        <v>490</v>
      </c>
      <c r="B115" s="34"/>
      <c r="C115" s="26" t="s">
        <v>193</v>
      </c>
      <c r="D115" s="35"/>
      <c r="E115" s="234" t="s">
        <v>194</v>
      </c>
      <c r="F115" s="234"/>
      <c r="G115" s="36"/>
      <c r="H115" s="27">
        <f>H116</f>
        <v>400000</v>
      </c>
      <c r="I115" s="27">
        <f>I116</f>
        <v>400000</v>
      </c>
    </row>
    <row r="116" spans="1:9" s="14" customFormat="1" ht="15.75" customHeight="1">
      <c r="A116" s="103" t="s">
        <v>491</v>
      </c>
      <c r="B116" s="28"/>
      <c r="C116" s="29"/>
      <c r="D116" s="29" t="s">
        <v>195</v>
      </c>
      <c r="E116" s="225" t="s">
        <v>196</v>
      </c>
      <c r="F116" s="225"/>
      <c r="G116" s="34"/>
      <c r="H116" s="30">
        <v>400000</v>
      </c>
      <c r="I116" s="30">
        <v>400000</v>
      </c>
    </row>
    <row r="117" spans="1:9" s="14" customFormat="1" ht="15.75" customHeight="1">
      <c r="A117" s="103" t="s">
        <v>492</v>
      </c>
      <c r="B117" s="21"/>
      <c r="C117" s="21"/>
      <c r="D117" s="21"/>
      <c r="E117" s="21"/>
      <c r="F117" s="21"/>
      <c r="G117" s="34"/>
      <c r="H117" s="30"/>
      <c r="I117" s="30"/>
    </row>
    <row r="118" spans="1:9" s="14" customFormat="1" ht="15.75" customHeight="1">
      <c r="A118" s="103" t="s">
        <v>493</v>
      </c>
      <c r="B118" s="192" t="s">
        <v>303</v>
      </c>
      <c r="C118" s="192"/>
      <c r="D118" s="192"/>
      <c r="E118" s="192"/>
      <c r="F118" s="192"/>
      <c r="G118" s="39"/>
      <c r="H118" s="24">
        <f>H119</f>
        <v>1750000</v>
      </c>
      <c r="I118" s="24">
        <f>I119</f>
        <v>1750000</v>
      </c>
    </row>
    <row r="119" spans="1:9" s="68" customFormat="1" ht="15.75" customHeight="1">
      <c r="A119" s="103" t="s">
        <v>494</v>
      </c>
      <c r="B119" s="25" t="s">
        <v>27</v>
      </c>
      <c r="C119" s="26"/>
      <c r="D119" s="234" t="s">
        <v>28</v>
      </c>
      <c r="E119" s="234"/>
      <c r="F119" s="234"/>
      <c r="G119" s="29"/>
      <c r="H119" s="27">
        <f>H120+H122+H126</f>
        <v>1750000</v>
      </c>
      <c r="I119" s="27">
        <f>I120+I122+I126</f>
        <v>1750000</v>
      </c>
    </row>
    <row r="120" spans="1:9" s="68" customFormat="1" ht="15.75" customHeight="1">
      <c r="A120" s="103" t="s">
        <v>495</v>
      </c>
      <c r="B120" s="34"/>
      <c r="C120" s="26" t="s">
        <v>165</v>
      </c>
      <c r="D120" s="35"/>
      <c r="E120" s="234" t="s">
        <v>166</v>
      </c>
      <c r="F120" s="234"/>
      <c r="G120" s="26"/>
      <c r="H120" s="27">
        <f>H121</f>
        <v>100000</v>
      </c>
      <c r="I120" s="27">
        <f>I121</f>
        <v>100000</v>
      </c>
    </row>
    <row r="121" spans="1:9" s="68" customFormat="1" ht="15.75" customHeight="1">
      <c r="A121" s="103" t="s">
        <v>496</v>
      </c>
      <c r="B121" s="28"/>
      <c r="C121" s="29"/>
      <c r="D121" s="29" t="s">
        <v>170</v>
      </c>
      <c r="E121" s="225" t="s">
        <v>171</v>
      </c>
      <c r="F121" s="225"/>
      <c r="G121" s="29"/>
      <c r="H121" s="30">
        <v>100000</v>
      </c>
      <c r="I121" s="30">
        <v>100000</v>
      </c>
    </row>
    <row r="122" spans="1:9" s="14" customFormat="1" ht="15.75" customHeight="1">
      <c r="A122" s="103" t="s">
        <v>497</v>
      </c>
      <c r="B122" s="34"/>
      <c r="C122" s="26" t="s">
        <v>179</v>
      </c>
      <c r="D122" s="35"/>
      <c r="E122" s="234" t="s">
        <v>180</v>
      </c>
      <c r="F122" s="234"/>
      <c r="G122" s="26"/>
      <c r="H122" s="27">
        <f>H123+H124+H125</f>
        <v>1400000</v>
      </c>
      <c r="I122" s="27">
        <f>I123+I124+I125</f>
        <v>1400000</v>
      </c>
    </row>
    <row r="123" spans="1:9" s="14" customFormat="1" ht="15.75" customHeight="1">
      <c r="A123" s="103" t="s">
        <v>498</v>
      </c>
      <c r="B123" s="28"/>
      <c r="C123" s="29"/>
      <c r="D123" s="29" t="s">
        <v>181</v>
      </c>
      <c r="E123" s="225" t="s">
        <v>182</v>
      </c>
      <c r="F123" s="225"/>
      <c r="G123" s="34"/>
      <c r="H123" s="30">
        <v>350000</v>
      </c>
      <c r="I123" s="30">
        <v>350000</v>
      </c>
    </row>
    <row r="124" spans="1:9" s="14" customFormat="1" ht="15.75" customHeight="1">
      <c r="A124" s="103" t="s">
        <v>499</v>
      </c>
      <c r="B124" s="21"/>
      <c r="C124" s="21"/>
      <c r="D124" s="29" t="s">
        <v>185</v>
      </c>
      <c r="E124" s="225" t="s">
        <v>186</v>
      </c>
      <c r="F124" s="225"/>
      <c r="G124" s="34"/>
      <c r="H124" s="30">
        <v>500000</v>
      </c>
      <c r="I124" s="30">
        <v>500000</v>
      </c>
    </row>
    <row r="125" spans="1:9" s="14" customFormat="1" ht="15.75" customHeight="1">
      <c r="A125" s="103" t="s">
        <v>500</v>
      </c>
      <c r="B125" s="21"/>
      <c r="C125" s="21"/>
      <c r="D125" s="29" t="s">
        <v>187</v>
      </c>
      <c r="E125" s="225" t="s">
        <v>188</v>
      </c>
      <c r="F125" s="225"/>
      <c r="G125" s="34"/>
      <c r="H125" s="30">
        <v>550000</v>
      </c>
      <c r="I125" s="30">
        <v>550000</v>
      </c>
    </row>
    <row r="126" spans="1:9" s="14" customFormat="1" ht="15.75" customHeight="1">
      <c r="A126" s="103" t="s">
        <v>501</v>
      </c>
      <c r="B126" s="21"/>
      <c r="C126" s="26" t="s">
        <v>193</v>
      </c>
      <c r="D126" s="35"/>
      <c r="E126" s="234" t="s">
        <v>194</v>
      </c>
      <c r="F126" s="234"/>
      <c r="G126" s="34"/>
      <c r="H126" s="30">
        <f>SUM(H127)</f>
        <v>250000</v>
      </c>
      <c r="I126" s="30">
        <f>SUM(I127)</f>
        <v>250000</v>
      </c>
    </row>
    <row r="127" spans="1:9" s="14" customFormat="1" ht="15.75" customHeight="1">
      <c r="A127" s="103" t="s">
        <v>502</v>
      </c>
      <c r="B127" s="28"/>
      <c r="C127" s="29"/>
      <c r="D127" s="29" t="s">
        <v>195</v>
      </c>
      <c r="E127" s="225" t="s">
        <v>196</v>
      </c>
      <c r="F127" s="225"/>
      <c r="G127" s="34"/>
      <c r="H127" s="30">
        <v>250000</v>
      </c>
      <c r="I127" s="30">
        <v>250000</v>
      </c>
    </row>
    <row r="128" spans="1:9" s="14" customFormat="1" ht="15.75" customHeight="1">
      <c r="A128" s="103" t="s">
        <v>503</v>
      </c>
      <c r="B128" s="28"/>
      <c r="C128" s="29"/>
      <c r="D128" s="29"/>
      <c r="E128" s="29"/>
      <c r="F128" s="29"/>
      <c r="G128" s="34"/>
      <c r="H128" s="30"/>
      <c r="I128" s="30"/>
    </row>
    <row r="129" spans="1:9" s="14" customFormat="1" ht="15.75" customHeight="1">
      <c r="A129" s="103" t="s">
        <v>504</v>
      </c>
      <c r="B129" s="192" t="s">
        <v>104</v>
      </c>
      <c r="C129" s="192"/>
      <c r="D129" s="192"/>
      <c r="E129" s="192"/>
      <c r="F129" s="192"/>
      <c r="G129" s="48">
        <v>1</v>
      </c>
      <c r="H129" s="24">
        <f>H130+H136+H139</f>
        <v>6023880</v>
      </c>
      <c r="I129" s="24">
        <f>I130+I136+I139</f>
        <v>6023880</v>
      </c>
    </row>
    <row r="130" spans="1:9" s="14" customFormat="1" ht="15.75" customHeight="1">
      <c r="A130" s="103" t="s">
        <v>505</v>
      </c>
      <c r="B130" s="25" t="s">
        <v>23</v>
      </c>
      <c r="C130" s="26"/>
      <c r="D130" s="234" t="s">
        <v>146</v>
      </c>
      <c r="E130" s="234"/>
      <c r="F130" s="234"/>
      <c r="G130" s="34"/>
      <c r="H130" s="27">
        <f>H131</f>
        <v>3832250</v>
      </c>
      <c r="I130" s="27">
        <f>I131</f>
        <v>3832250</v>
      </c>
    </row>
    <row r="131" spans="1:9" s="14" customFormat="1" ht="15.75" customHeight="1">
      <c r="A131" s="103" t="s">
        <v>506</v>
      </c>
      <c r="B131" s="28"/>
      <c r="C131" s="26" t="s">
        <v>147</v>
      </c>
      <c r="D131" s="29"/>
      <c r="E131" s="225" t="s">
        <v>148</v>
      </c>
      <c r="F131" s="225"/>
      <c r="G131" s="34"/>
      <c r="H131" s="30">
        <f>SUM(H132:H135)</f>
        <v>3832250</v>
      </c>
      <c r="I131" s="30">
        <f>SUM(I132:I135)</f>
        <v>3832250</v>
      </c>
    </row>
    <row r="132" spans="1:9" s="14" customFormat="1" ht="15.75" customHeight="1">
      <c r="A132" s="103" t="s">
        <v>507</v>
      </c>
      <c r="B132" s="21"/>
      <c r="C132" s="29"/>
      <c r="D132" s="29" t="s">
        <v>149</v>
      </c>
      <c r="E132" s="225" t="s">
        <v>150</v>
      </c>
      <c r="F132" s="225"/>
      <c r="G132" s="34"/>
      <c r="H132" s="30">
        <v>3456000</v>
      </c>
      <c r="I132" s="30">
        <v>3456000</v>
      </c>
    </row>
    <row r="133" spans="1:9" s="14" customFormat="1" ht="15.75" customHeight="1">
      <c r="A133" s="103" t="s">
        <v>508</v>
      </c>
      <c r="B133" s="21"/>
      <c r="C133" s="29"/>
      <c r="D133" s="29" t="s">
        <v>299</v>
      </c>
      <c r="E133" s="225" t="s">
        <v>308</v>
      </c>
      <c r="F133" s="225"/>
      <c r="G133" s="34"/>
      <c r="H133" s="30">
        <v>144000</v>
      </c>
      <c r="I133" s="30">
        <v>144000</v>
      </c>
    </row>
    <row r="134" spans="1:9" s="14" customFormat="1" ht="15.75" customHeight="1">
      <c r="A134" s="103" t="s">
        <v>509</v>
      </c>
      <c r="B134" s="21"/>
      <c r="C134" s="29"/>
      <c r="D134" s="29" t="s">
        <v>221</v>
      </c>
      <c r="E134" s="225" t="s">
        <v>316</v>
      </c>
      <c r="F134" s="225"/>
      <c r="G134" s="34"/>
      <c r="H134" s="30">
        <v>76000</v>
      </c>
      <c r="I134" s="30">
        <v>76000</v>
      </c>
    </row>
    <row r="135" spans="1:9" s="14" customFormat="1" ht="15.75" customHeight="1">
      <c r="A135" s="103" t="s">
        <v>510</v>
      </c>
      <c r="B135" s="28"/>
      <c r="C135" s="29"/>
      <c r="D135" s="29" t="s">
        <v>151</v>
      </c>
      <c r="E135" s="225" t="s">
        <v>152</v>
      </c>
      <c r="F135" s="225"/>
      <c r="G135" s="34"/>
      <c r="H135" s="30">
        <v>156250</v>
      </c>
      <c r="I135" s="30">
        <v>156250</v>
      </c>
    </row>
    <row r="136" spans="1:9" s="14" customFormat="1" ht="15.75" customHeight="1">
      <c r="A136" s="103" t="s">
        <v>511</v>
      </c>
      <c r="B136" s="25" t="s">
        <v>25</v>
      </c>
      <c r="C136" s="26"/>
      <c r="D136" s="234" t="s">
        <v>162</v>
      </c>
      <c r="E136" s="234"/>
      <c r="F136" s="234"/>
      <c r="G136" s="34"/>
      <c r="H136" s="27">
        <f>SUM(H137:H138)</f>
        <v>521630</v>
      </c>
      <c r="I136" s="27">
        <f>SUM(I137:I138)</f>
        <v>521630</v>
      </c>
    </row>
    <row r="137" spans="1:9" s="14" customFormat="1" ht="15.75" customHeight="1">
      <c r="A137" s="103" t="s">
        <v>512</v>
      </c>
      <c r="B137" s="28"/>
      <c r="C137" s="29"/>
      <c r="D137" s="29"/>
      <c r="E137" s="237" t="s">
        <v>163</v>
      </c>
      <c r="F137" s="237"/>
      <c r="G137" s="34"/>
      <c r="H137" s="30">
        <f>H131*0.13</f>
        <v>498192.5</v>
      </c>
      <c r="I137" s="30">
        <f>I131*0.13</f>
        <v>498192.5</v>
      </c>
    </row>
    <row r="138" spans="1:9" s="14" customFormat="1" ht="15.75" customHeight="1">
      <c r="A138" s="103" t="s">
        <v>513</v>
      </c>
      <c r="B138" s="28"/>
      <c r="C138" s="29"/>
      <c r="D138" s="29"/>
      <c r="E138" s="237" t="s">
        <v>164</v>
      </c>
      <c r="F138" s="237"/>
      <c r="G138" s="34"/>
      <c r="H138" s="30">
        <f>H135*0.15</f>
        <v>23437.5</v>
      </c>
      <c r="I138" s="30">
        <f>I135*0.15</f>
        <v>23437.5</v>
      </c>
    </row>
    <row r="139" spans="1:9" s="14" customFormat="1" ht="15.75" customHeight="1">
      <c r="A139" s="103" t="s">
        <v>514</v>
      </c>
      <c r="B139" s="25" t="s">
        <v>27</v>
      </c>
      <c r="C139" s="26"/>
      <c r="D139" s="234" t="s">
        <v>28</v>
      </c>
      <c r="E139" s="234"/>
      <c r="F139" s="234"/>
      <c r="G139" s="31"/>
      <c r="H139" s="27">
        <f>H140+H144+H147+H154+H151</f>
        <v>1670000</v>
      </c>
      <c r="I139" s="27">
        <f>I140+I144+I147+I154+I151</f>
        <v>1670000</v>
      </c>
    </row>
    <row r="140" spans="1:9" s="14" customFormat="1" ht="15.75" customHeight="1">
      <c r="A140" s="103" t="s">
        <v>515</v>
      </c>
      <c r="B140" s="34"/>
      <c r="C140" s="26" t="s">
        <v>165</v>
      </c>
      <c r="D140" s="35"/>
      <c r="E140" s="234" t="s">
        <v>166</v>
      </c>
      <c r="F140" s="234"/>
      <c r="G140" s="31"/>
      <c r="H140" s="27">
        <f>H141+H142+H143</f>
        <v>700000</v>
      </c>
      <c r="I140" s="27">
        <f>I141+I142+I143</f>
        <v>700000</v>
      </c>
    </row>
    <row r="141" spans="1:9" s="14" customFormat="1" ht="15.75" customHeight="1">
      <c r="A141" s="103" t="s">
        <v>516</v>
      </c>
      <c r="B141" s="28"/>
      <c r="C141" s="29"/>
      <c r="D141" s="29" t="s">
        <v>167</v>
      </c>
      <c r="E141" s="225" t="s">
        <v>168</v>
      </c>
      <c r="F141" s="225"/>
      <c r="G141" s="31"/>
      <c r="H141" s="30">
        <v>50000</v>
      </c>
      <c r="I141" s="30">
        <v>50000</v>
      </c>
    </row>
    <row r="142" spans="1:9" s="14" customFormat="1" ht="15.75" customHeight="1">
      <c r="A142" s="103" t="s">
        <v>517</v>
      </c>
      <c r="B142" s="28"/>
      <c r="C142" s="29"/>
      <c r="D142" s="29" t="s">
        <v>170</v>
      </c>
      <c r="E142" s="225" t="s">
        <v>171</v>
      </c>
      <c r="F142" s="225"/>
      <c r="G142" s="31"/>
      <c r="H142" s="30">
        <v>50000</v>
      </c>
      <c r="I142" s="30">
        <v>50000</v>
      </c>
    </row>
    <row r="143" spans="1:9" s="14" customFormat="1" ht="15.75" customHeight="1">
      <c r="A143" s="103" t="s">
        <v>518</v>
      </c>
      <c r="B143" s="25"/>
      <c r="C143" s="26"/>
      <c r="D143" s="29" t="s">
        <v>228</v>
      </c>
      <c r="E143" s="225" t="s">
        <v>229</v>
      </c>
      <c r="F143" s="225"/>
      <c r="G143" s="34"/>
      <c r="H143" s="37">
        <v>600000</v>
      </c>
      <c r="I143" s="37">
        <v>600000</v>
      </c>
    </row>
    <row r="144" spans="1:9" s="18" customFormat="1" ht="15.75" customHeight="1">
      <c r="A144" s="103" t="s">
        <v>519</v>
      </c>
      <c r="B144" s="34"/>
      <c r="C144" s="26" t="s">
        <v>173</v>
      </c>
      <c r="D144" s="35"/>
      <c r="E144" s="234" t="s">
        <v>174</v>
      </c>
      <c r="F144" s="234"/>
      <c r="G144" s="36"/>
      <c r="H144" s="27">
        <f>H145+H146</f>
        <v>140000</v>
      </c>
      <c r="I144" s="27">
        <f>I145+I146</f>
        <v>140000</v>
      </c>
    </row>
    <row r="145" spans="1:9" s="14" customFormat="1" ht="15.75" customHeight="1">
      <c r="A145" s="103" t="s">
        <v>520</v>
      </c>
      <c r="B145" s="28"/>
      <c r="C145" s="29"/>
      <c r="D145" s="29" t="s">
        <v>175</v>
      </c>
      <c r="E145" s="225" t="s">
        <v>176</v>
      </c>
      <c r="F145" s="225"/>
      <c r="G145" s="34"/>
      <c r="H145" s="30">
        <v>90000</v>
      </c>
      <c r="I145" s="30">
        <v>90000</v>
      </c>
    </row>
    <row r="146" spans="1:9" s="14" customFormat="1" ht="15.75" customHeight="1">
      <c r="A146" s="103" t="s">
        <v>521</v>
      </c>
      <c r="B146" s="28"/>
      <c r="C146" s="29"/>
      <c r="D146" s="29" t="s">
        <v>177</v>
      </c>
      <c r="E146" s="225" t="s">
        <v>178</v>
      </c>
      <c r="F146" s="225"/>
      <c r="G146" s="34"/>
      <c r="H146" s="30">
        <v>50000</v>
      </c>
      <c r="I146" s="30">
        <v>50000</v>
      </c>
    </row>
    <row r="147" spans="1:9" s="14" customFormat="1" ht="15.75" customHeight="1">
      <c r="A147" s="103" t="s">
        <v>522</v>
      </c>
      <c r="B147" s="34"/>
      <c r="C147" s="26" t="s">
        <v>179</v>
      </c>
      <c r="D147" s="35"/>
      <c r="E147" s="234" t="s">
        <v>180</v>
      </c>
      <c r="F147" s="234"/>
      <c r="G147" s="34"/>
      <c r="H147" s="27">
        <f>H148+H149+H150</f>
        <v>380000</v>
      </c>
      <c r="I147" s="27">
        <f>I148+I149+I150</f>
        <v>380000</v>
      </c>
    </row>
    <row r="148" spans="1:9" s="14" customFormat="1" ht="15.75" customHeight="1">
      <c r="A148" s="103" t="s">
        <v>523</v>
      </c>
      <c r="B148" s="28"/>
      <c r="C148" s="29"/>
      <c r="D148" s="29" t="s">
        <v>181</v>
      </c>
      <c r="E148" s="225" t="s">
        <v>182</v>
      </c>
      <c r="F148" s="225"/>
      <c r="G148" s="34"/>
      <c r="H148" s="30">
        <v>200000</v>
      </c>
      <c r="I148" s="30">
        <v>200000</v>
      </c>
    </row>
    <row r="149" spans="1:9" s="14" customFormat="1" ht="15.75" customHeight="1">
      <c r="A149" s="103" t="s">
        <v>524</v>
      </c>
      <c r="B149" s="28"/>
      <c r="C149" s="29"/>
      <c r="D149" s="29" t="s">
        <v>185</v>
      </c>
      <c r="E149" s="225" t="s">
        <v>186</v>
      </c>
      <c r="F149" s="225"/>
      <c r="G149" s="34"/>
      <c r="H149" s="30">
        <v>30000</v>
      </c>
      <c r="I149" s="30">
        <v>30000</v>
      </c>
    </row>
    <row r="150" spans="1:9" s="14" customFormat="1" ht="15.75" customHeight="1">
      <c r="A150" s="103" t="s">
        <v>525</v>
      </c>
      <c r="B150" s="28"/>
      <c r="C150" s="29"/>
      <c r="D150" s="29" t="s">
        <v>187</v>
      </c>
      <c r="E150" s="225" t="s">
        <v>188</v>
      </c>
      <c r="F150" s="225"/>
      <c r="G150" s="34"/>
      <c r="H150" s="30">
        <v>150000</v>
      </c>
      <c r="I150" s="30">
        <v>150000</v>
      </c>
    </row>
    <row r="151" spans="1:9" s="14" customFormat="1" ht="15.75" customHeight="1">
      <c r="A151" s="103" t="s">
        <v>526</v>
      </c>
      <c r="B151" s="34"/>
      <c r="C151" s="26" t="s">
        <v>189</v>
      </c>
      <c r="D151" s="35"/>
      <c r="E151" s="234" t="s">
        <v>190</v>
      </c>
      <c r="F151" s="234"/>
      <c r="G151" s="34"/>
      <c r="H151" s="27">
        <f>H152+H153</f>
        <v>200000</v>
      </c>
      <c r="I151" s="27">
        <f>I152+I153</f>
        <v>200000</v>
      </c>
    </row>
    <row r="152" spans="1:9" s="14" customFormat="1" ht="15.75" customHeight="1">
      <c r="A152" s="103" t="s">
        <v>527</v>
      </c>
      <c r="B152" s="28"/>
      <c r="C152" s="29"/>
      <c r="D152" s="29" t="s">
        <v>191</v>
      </c>
      <c r="E152" s="225" t="s">
        <v>192</v>
      </c>
      <c r="F152" s="225"/>
      <c r="G152" s="34"/>
      <c r="H152" s="30">
        <v>0</v>
      </c>
      <c r="I152" s="30">
        <v>0</v>
      </c>
    </row>
    <row r="153" spans="1:9" s="14" customFormat="1" ht="15.75" customHeight="1">
      <c r="A153" s="103" t="s">
        <v>528</v>
      </c>
      <c r="B153" s="28"/>
      <c r="C153" s="29"/>
      <c r="D153" s="29" t="s">
        <v>230</v>
      </c>
      <c r="E153" s="225" t="s">
        <v>231</v>
      </c>
      <c r="F153" s="225"/>
      <c r="G153" s="34"/>
      <c r="H153" s="30">
        <v>200000</v>
      </c>
      <c r="I153" s="30">
        <v>200000</v>
      </c>
    </row>
    <row r="154" spans="1:9" s="14" customFormat="1" ht="15.75" customHeight="1">
      <c r="A154" s="103" t="s">
        <v>529</v>
      </c>
      <c r="B154" s="34"/>
      <c r="C154" s="26" t="s">
        <v>193</v>
      </c>
      <c r="D154" s="35"/>
      <c r="E154" s="234" t="s">
        <v>194</v>
      </c>
      <c r="F154" s="234"/>
      <c r="G154" s="34"/>
      <c r="H154" s="27">
        <f>SUM(H155)</f>
        <v>250000</v>
      </c>
      <c r="I154" s="27">
        <f>SUM(I155)</f>
        <v>250000</v>
      </c>
    </row>
    <row r="155" spans="1:9" s="14" customFormat="1" ht="15.75" customHeight="1">
      <c r="A155" s="103" t="s">
        <v>530</v>
      </c>
      <c r="B155" s="28"/>
      <c r="C155" s="29"/>
      <c r="D155" s="29" t="s">
        <v>195</v>
      </c>
      <c r="E155" s="225" t="s">
        <v>196</v>
      </c>
      <c r="F155" s="225"/>
      <c r="G155" s="34"/>
      <c r="H155" s="37">
        <v>250000</v>
      </c>
      <c r="I155" s="37">
        <v>250000</v>
      </c>
    </row>
    <row r="156" spans="1:9" ht="15.75" customHeight="1">
      <c r="A156" s="103" t="s">
        <v>531</v>
      </c>
      <c r="B156" s="28"/>
      <c r="C156" s="29"/>
      <c r="D156" s="29"/>
      <c r="E156" s="29"/>
      <c r="F156" s="29"/>
      <c r="G156" s="29"/>
      <c r="H156" s="30"/>
      <c r="I156" s="30"/>
    </row>
    <row r="157" spans="1:9" ht="15.75" customHeight="1">
      <c r="A157" s="103" t="s">
        <v>532</v>
      </c>
      <c r="B157" s="192" t="s">
        <v>317</v>
      </c>
      <c r="C157" s="192"/>
      <c r="D157" s="192"/>
      <c r="E157" s="192"/>
      <c r="F157" s="192"/>
      <c r="G157" s="41"/>
      <c r="H157" s="24">
        <f>H158</f>
        <v>20664140</v>
      </c>
      <c r="I157" s="24">
        <f>I158</f>
        <v>20664140</v>
      </c>
    </row>
    <row r="158" spans="1:9" ht="15.75" customHeight="1">
      <c r="A158" s="103" t="s">
        <v>533</v>
      </c>
      <c r="B158" s="38" t="s">
        <v>36</v>
      </c>
      <c r="C158" s="29"/>
      <c r="D158" s="234" t="s">
        <v>37</v>
      </c>
      <c r="E158" s="234"/>
      <c r="F158" s="234"/>
      <c r="G158" s="29"/>
      <c r="H158" s="27">
        <f>SUM(H159:H160)</f>
        <v>20664140</v>
      </c>
      <c r="I158" s="27">
        <f>SUM(I159:I160)</f>
        <v>20664140</v>
      </c>
    </row>
    <row r="159" spans="1:9" ht="15.75" customHeight="1">
      <c r="A159" s="103" t="s">
        <v>534</v>
      </c>
      <c r="B159" s="38"/>
      <c r="C159" s="47" t="s">
        <v>225</v>
      </c>
      <c r="D159" s="21"/>
      <c r="E159" s="201" t="s">
        <v>369</v>
      </c>
      <c r="F159" s="201"/>
      <c r="G159" s="29"/>
      <c r="H159" s="30">
        <f>4459953+11811000</f>
        <v>16270953</v>
      </c>
      <c r="I159" s="30">
        <f>4459953+11811000</f>
        <v>16270953</v>
      </c>
    </row>
    <row r="160" spans="1:9" ht="15.75" customHeight="1">
      <c r="A160" s="103" t="s">
        <v>535</v>
      </c>
      <c r="B160" s="28"/>
      <c r="C160" s="47" t="s">
        <v>226</v>
      </c>
      <c r="D160" s="21"/>
      <c r="E160" s="201" t="s">
        <v>227</v>
      </c>
      <c r="F160" s="201"/>
      <c r="G160" s="29"/>
      <c r="H160" s="30">
        <f>1204187+3189000</f>
        <v>4393187</v>
      </c>
      <c r="I160" s="30">
        <f>1204187+3189000</f>
        <v>4393187</v>
      </c>
    </row>
    <row r="161" spans="1:9" ht="15.75" customHeight="1">
      <c r="A161" s="103" t="s">
        <v>536</v>
      </c>
      <c r="B161" s="28"/>
      <c r="C161" s="29"/>
      <c r="D161" s="29"/>
      <c r="E161" s="29"/>
      <c r="F161" s="29"/>
      <c r="G161" s="29"/>
      <c r="H161" s="21"/>
      <c r="I161" s="21"/>
    </row>
    <row r="162" spans="1:9" s="14" customFormat="1" ht="15.75" customHeight="1">
      <c r="A162" s="103" t="s">
        <v>537</v>
      </c>
      <c r="B162" s="192" t="s">
        <v>232</v>
      </c>
      <c r="C162" s="192"/>
      <c r="D162" s="192"/>
      <c r="E162" s="192"/>
      <c r="F162" s="192"/>
      <c r="G162" s="41"/>
      <c r="H162" s="24">
        <f>SUM(H163)</f>
        <v>16500000</v>
      </c>
      <c r="I162" s="24">
        <f>SUM(I163)</f>
        <v>16500000</v>
      </c>
    </row>
    <row r="163" spans="1:9" s="14" customFormat="1" ht="15.75" customHeight="1">
      <c r="A163" s="103" t="s">
        <v>538</v>
      </c>
      <c r="B163" s="25" t="s">
        <v>27</v>
      </c>
      <c r="C163" s="26"/>
      <c r="D163" s="234" t="s">
        <v>28</v>
      </c>
      <c r="E163" s="234"/>
      <c r="F163" s="234"/>
      <c r="G163" s="34"/>
      <c r="H163" s="50">
        <f>H164+H167</f>
        <v>16500000</v>
      </c>
      <c r="I163" s="50">
        <f>I164+I167</f>
        <v>16500000</v>
      </c>
    </row>
    <row r="164" spans="1:9" s="14" customFormat="1" ht="15.75" customHeight="1">
      <c r="A164" s="103" t="s">
        <v>539</v>
      </c>
      <c r="B164" s="34"/>
      <c r="C164" s="26" t="s">
        <v>179</v>
      </c>
      <c r="D164" s="35"/>
      <c r="E164" s="234" t="s">
        <v>180</v>
      </c>
      <c r="F164" s="234"/>
      <c r="G164" s="34"/>
      <c r="H164" s="27">
        <f>H165+H166</f>
        <v>13200000</v>
      </c>
      <c r="I164" s="27">
        <f>I165+I166</f>
        <v>13200000</v>
      </c>
    </row>
    <row r="165" spans="1:9" s="14" customFormat="1" ht="15.75" customHeight="1">
      <c r="A165" s="103" t="s">
        <v>540</v>
      </c>
      <c r="B165" s="28"/>
      <c r="C165" s="29"/>
      <c r="D165" s="29" t="s">
        <v>181</v>
      </c>
      <c r="E165" s="225" t="s">
        <v>182</v>
      </c>
      <c r="F165" s="225"/>
      <c r="G165" s="34"/>
      <c r="H165" s="49">
        <v>12500000</v>
      </c>
      <c r="I165" s="49">
        <v>12500000</v>
      </c>
    </row>
    <row r="166" spans="1:9" ht="15.75" customHeight="1">
      <c r="A166" s="103" t="s">
        <v>541</v>
      </c>
      <c r="B166" s="28"/>
      <c r="C166" s="29"/>
      <c r="D166" s="29" t="s">
        <v>185</v>
      </c>
      <c r="E166" s="225" t="s">
        <v>186</v>
      </c>
      <c r="F166" s="225"/>
      <c r="G166" s="29"/>
      <c r="H166" s="51">
        <v>700000</v>
      </c>
      <c r="I166" s="51">
        <v>700000</v>
      </c>
    </row>
    <row r="167" spans="1:9" ht="15.75" customHeight="1">
      <c r="A167" s="103" t="s">
        <v>542</v>
      </c>
      <c r="B167" s="34"/>
      <c r="C167" s="26" t="s">
        <v>193</v>
      </c>
      <c r="D167" s="35"/>
      <c r="E167" s="234" t="s">
        <v>194</v>
      </c>
      <c r="F167" s="234"/>
      <c r="G167" s="29"/>
      <c r="H167" s="52">
        <f>H168</f>
        <v>3300000</v>
      </c>
      <c r="I167" s="52">
        <f>I168</f>
        <v>3300000</v>
      </c>
    </row>
    <row r="168" spans="1:9" ht="15.75" customHeight="1">
      <c r="A168" s="103" t="s">
        <v>543</v>
      </c>
      <c r="B168" s="28"/>
      <c r="C168" s="29"/>
      <c r="D168" s="29" t="s">
        <v>195</v>
      </c>
      <c r="E168" s="225" t="s">
        <v>196</v>
      </c>
      <c r="F168" s="225"/>
      <c r="G168" s="29"/>
      <c r="H168" s="53">
        <v>3300000</v>
      </c>
      <c r="I168" s="53">
        <v>3300000</v>
      </c>
    </row>
    <row r="169" spans="1:9" ht="15.75" customHeight="1">
      <c r="A169" s="103" t="s">
        <v>544</v>
      </c>
      <c r="B169" s="28"/>
      <c r="C169" s="29"/>
      <c r="D169" s="29"/>
      <c r="E169" s="29"/>
      <c r="F169" s="31"/>
      <c r="G169" s="29"/>
      <c r="H169" s="54"/>
      <c r="I169" s="54"/>
    </row>
    <row r="170" spans="1:9" ht="15.75" customHeight="1">
      <c r="A170" s="103" t="s">
        <v>545</v>
      </c>
      <c r="B170" s="192" t="s">
        <v>233</v>
      </c>
      <c r="C170" s="192"/>
      <c r="D170" s="192"/>
      <c r="E170" s="192"/>
      <c r="F170" s="192"/>
      <c r="G170" s="48">
        <v>1</v>
      </c>
      <c r="H170" s="43">
        <f>H171+H176+H179</f>
        <v>8516776</v>
      </c>
      <c r="I170" s="43">
        <f>I171+I176+I179</f>
        <v>8516776</v>
      </c>
    </row>
    <row r="171" spans="1:9" ht="15.75" customHeight="1">
      <c r="A171" s="103" t="s">
        <v>546</v>
      </c>
      <c r="B171" s="25" t="s">
        <v>23</v>
      </c>
      <c r="C171" s="26"/>
      <c r="D171" s="234" t="s">
        <v>146</v>
      </c>
      <c r="E171" s="234"/>
      <c r="F171" s="234"/>
      <c r="G171" s="26"/>
      <c r="H171" s="46">
        <f>SUM(H172)</f>
        <v>3091450</v>
      </c>
      <c r="I171" s="46">
        <f>SUM(I172)</f>
        <v>3091450</v>
      </c>
    </row>
    <row r="172" spans="1:9" ht="15.75" customHeight="1">
      <c r="A172" s="103" t="s">
        <v>547</v>
      </c>
      <c r="B172" s="28"/>
      <c r="C172" s="26" t="s">
        <v>147</v>
      </c>
      <c r="D172" s="29"/>
      <c r="E172" s="225" t="s">
        <v>148</v>
      </c>
      <c r="F172" s="225"/>
      <c r="G172" s="26"/>
      <c r="H172" s="44">
        <f>SUM(H173:H175)</f>
        <v>3091450</v>
      </c>
      <c r="I172" s="44">
        <f>SUM(I173:I175)</f>
        <v>3091450</v>
      </c>
    </row>
    <row r="173" spans="1:9" ht="15.75" customHeight="1">
      <c r="A173" s="103" t="s">
        <v>548</v>
      </c>
      <c r="B173" s="21"/>
      <c r="C173" s="29"/>
      <c r="D173" s="29" t="s">
        <v>149</v>
      </c>
      <c r="E173" s="225" t="s">
        <v>150</v>
      </c>
      <c r="F173" s="225"/>
      <c r="G173" s="26"/>
      <c r="H173" s="44">
        <v>2815200</v>
      </c>
      <c r="I173" s="44">
        <v>2815200</v>
      </c>
    </row>
    <row r="174" spans="1:9" ht="15.75" customHeight="1">
      <c r="A174" s="103" t="s">
        <v>549</v>
      </c>
      <c r="B174" s="21"/>
      <c r="C174" s="29"/>
      <c r="D174" s="29" t="s">
        <v>299</v>
      </c>
      <c r="E174" s="225" t="s">
        <v>308</v>
      </c>
      <c r="F174" s="225"/>
      <c r="G174" s="26"/>
      <c r="H174" s="44">
        <v>120000</v>
      </c>
      <c r="I174" s="44">
        <v>120000</v>
      </c>
    </row>
    <row r="175" spans="1:9" ht="15.75" customHeight="1">
      <c r="A175" s="103" t="s">
        <v>550</v>
      </c>
      <c r="B175" s="21"/>
      <c r="C175" s="29"/>
      <c r="D175" s="29" t="s">
        <v>151</v>
      </c>
      <c r="E175" s="225" t="s">
        <v>152</v>
      </c>
      <c r="F175" s="225"/>
      <c r="G175" s="26"/>
      <c r="H175" s="44">
        <v>156250</v>
      </c>
      <c r="I175" s="44">
        <v>156250</v>
      </c>
    </row>
    <row r="176" spans="1:9" ht="15.75" customHeight="1">
      <c r="A176" s="103" t="s">
        <v>551</v>
      </c>
      <c r="B176" s="25" t="s">
        <v>25</v>
      </c>
      <c r="C176" s="26"/>
      <c r="D176" s="234" t="s">
        <v>162</v>
      </c>
      <c r="E176" s="234"/>
      <c r="F176" s="234"/>
      <c r="G176" s="26"/>
      <c r="H176" s="46">
        <f>SUM(H177:H178)</f>
        <v>425326</v>
      </c>
      <c r="I176" s="46">
        <f>SUM(I177:I178)</f>
        <v>425326</v>
      </c>
    </row>
    <row r="177" spans="1:9" ht="15.75" customHeight="1">
      <c r="A177" s="103" t="s">
        <v>552</v>
      </c>
      <c r="B177" s="28"/>
      <c r="C177" s="29"/>
      <c r="D177" s="29"/>
      <c r="E177" s="237" t="s">
        <v>163</v>
      </c>
      <c r="F177" s="237"/>
      <c r="G177" s="26"/>
      <c r="H177" s="44">
        <f>H172*0.13</f>
        <v>401888.5</v>
      </c>
      <c r="I177" s="44">
        <f>I172*0.13</f>
        <v>401888.5</v>
      </c>
    </row>
    <row r="178" spans="1:9" ht="15.75" customHeight="1">
      <c r="A178" s="103" t="s">
        <v>553</v>
      </c>
      <c r="B178" s="28"/>
      <c r="C178" s="29"/>
      <c r="D178" s="29"/>
      <c r="E178" s="237" t="s">
        <v>164</v>
      </c>
      <c r="F178" s="237"/>
      <c r="G178" s="26"/>
      <c r="H178" s="44">
        <f>H175*0.15</f>
        <v>23437.5</v>
      </c>
      <c r="I178" s="44">
        <f>I175*0.15</f>
        <v>23437.5</v>
      </c>
    </row>
    <row r="179" spans="1:9" ht="15.75" customHeight="1">
      <c r="A179" s="103" t="s">
        <v>554</v>
      </c>
      <c r="B179" s="25" t="s">
        <v>27</v>
      </c>
      <c r="C179" s="26"/>
      <c r="D179" s="26" t="s">
        <v>28</v>
      </c>
      <c r="E179" s="26"/>
      <c r="F179" s="26"/>
      <c r="G179" s="29"/>
      <c r="H179" s="55">
        <f>H180+H182+H185</f>
        <v>5000000</v>
      </c>
      <c r="I179" s="55">
        <f>I180+I182+I185</f>
        <v>5000000</v>
      </c>
    </row>
    <row r="180" spans="1:9" ht="15.75" customHeight="1">
      <c r="A180" s="103" t="s">
        <v>555</v>
      </c>
      <c r="B180" s="34"/>
      <c r="C180" s="26" t="s">
        <v>165</v>
      </c>
      <c r="D180" s="35"/>
      <c r="E180" s="234" t="s">
        <v>166</v>
      </c>
      <c r="F180" s="234"/>
      <c r="G180" s="29"/>
      <c r="H180" s="56">
        <f>H181</f>
        <v>1800000</v>
      </c>
      <c r="I180" s="56">
        <f>I181</f>
        <v>1800000</v>
      </c>
    </row>
    <row r="181" spans="1:9" ht="15.75" customHeight="1">
      <c r="A181" s="103" t="s">
        <v>556</v>
      </c>
      <c r="B181" s="28"/>
      <c r="C181" s="29"/>
      <c r="D181" s="29" t="s">
        <v>170</v>
      </c>
      <c r="E181" s="225" t="s">
        <v>171</v>
      </c>
      <c r="F181" s="225"/>
      <c r="G181" s="29"/>
      <c r="H181" s="49">
        <v>1800000</v>
      </c>
      <c r="I181" s="49">
        <v>1800000</v>
      </c>
    </row>
    <row r="182" spans="1:9" ht="15.75" customHeight="1">
      <c r="A182" s="103" t="s">
        <v>557</v>
      </c>
      <c r="B182" s="34"/>
      <c r="C182" s="26" t="s">
        <v>179</v>
      </c>
      <c r="D182" s="35"/>
      <c r="E182" s="234" t="s">
        <v>180</v>
      </c>
      <c r="F182" s="234"/>
      <c r="G182" s="29"/>
      <c r="H182" s="55">
        <f>H183+H184</f>
        <v>2500000</v>
      </c>
      <c r="I182" s="55">
        <f>I183+I184</f>
        <v>2500000</v>
      </c>
    </row>
    <row r="183" spans="1:9" ht="15.75" customHeight="1">
      <c r="A183" s="103" t="s">
        <v>558</v>
      </c>
      <c r="B183" s="28"/>
      <c r="C183" s="29"/>
      <c r="D183" s="29" t="s">
        <v>185</v>
      </c>
      <c r="E183" s="225" t="s">
        <v>186</v>
      </c>
      <c r="F183" s="225"/>
      <c r="G183" s="29"/>
      <c r="H183" s="49">
        <v>200000</v>
      </c>
      <c r="I183" s="49">
        <v>200000</v>
      </c>
    </row>
    <row r="184" spans="1:9" ht="15.75" customHeight="1">
      <c r="A184" s="103" t="s">
        <v>559</v>
      </c>
      <c r="B184" s="28"/>
      <c r="C184" s="29"/>
      <c r="D184" s="29" t="s">
        <v>187</v>
      </c>
      <c r="E184" s="225" t="s">
        <v>188</v>
      </c>
      <c r="F184" s="225"/>
      <c r="G184" s="29"/>
      <c r="H184" s="49">
        <v>2300000</v>
      </c>
      <c r="I184" s="49">
        <v>2300000</v>
      </c>
    </row>
    <row r="185" spans="1:9" ht="15.75" customHeight="1">
      <c r="A185" s="103" t="s">
        <v>560</v>
      </c>
      <c r="B185" s="34"/>
      <c r="C185" s="26" t="s">
        <v>193</v>
      </c>
      <c r="D185" s="35"/>
      <c r="E185" s="234" t="s">
        <v>194</v>
      </c>
      <c r="F185" s="234"/>
      <c r="G185" s="29"/>
      <c r="H185" s="56">
        <f>H186</f>
        <v>700000</v>
      </c>
      <c r="I185" s="56">
        <f>I186</f>
        <v>700000</v>
      </c>
    </row>
    <row r="186" spans="1:9" ht="15.75" customHeight="1">
      <c r="A186" s="103" t="s">
        <v>561</v>
      </c>
      <c r="B186" s="28"/>
      <c r="C186" s="29"/>
      <c r="D186" s="29" t="s">
        <v>195</v>
      </c>
      <c r="E186" s="225" t="s">
        <v>196</v>
      </c>
      <c r="F186" s="225"/>
      <c r="G186" s="29"/>
      <c r="H186" s="57">
        <v>700000</v>
      </c>
      <c r="I186" s="57">
        <v>700000</v>
      </c>
    </row>
    <row r="187" spans="1:9" ht="15.75" customHeight="1">
      <c r="A187" s="103" t="s">
        <v>562</v>
      </c>
      <c r="B187" s="28"/>
      <c r="C187" s="29"/>
      <c r="D187" s="29"/>
      <c r="E187" s="31"/>
      <c r="F187" s="31"/>
      <c r="G187" s="29"/>
      <c r="H187" s="57"/>
      <c r="I187" s="57"/>
    </row>
    <row r="188" spans="1:9" ht="15.75" customHeight="1">
      <c r="A188" s="103" t="s">
        <v>563</v>
      </c>
      <c r="B188" s="192" t="s">
        <v>107</v>
      </c>
      <c r="C188" s="192"/>
      <c r="D188" s="192"/>
      <c r="E188" s="192"/>
      <c r="F188" s="192"/>
      <c r="G188" s="48">
        <v>16</v>
      </c>
      <c r="H188" s="58">
        <f>H189+H201+H204+H221</f>
        <v>91664600</v>
      </c>
      <c r="I188" s="58">
        <f>I189+I201+I204+I221+I217</f>
        <v>93782607</v>
      </c>
    </row>
    <row r="189" spans="1:9" ht="15.75" customHeight="1">
      <c r="A189" s="103" t="s">
        <v>564</v>
      </c>
      <c r="B189" s="25" t="s">
        <v>23</v>
      </c>
      <c r="C189" s="26"/>
      <c r="D189" s="234" t="s">
        <v>146</v>
      </c>
      <c r="E189" s="234"/>
      <c r="F189" s="234"/>
      <c r="G189" s="59"/>
      <c r="H189" s="46">
        <f>H190+H198</f>
        <v>60040000</v>
      </c>
      <c r="I189" s="46">
        <f>I190+I198</f>
        <v>60061874</v>
      </c>
    </row>
    <row r="190" spans="1:9" ht="15.75" customHeight="1">
      <c r="A190" s="103" t="s">
        <v>565</v>
      </c>
      <c r="B190" s="28"/>
      <c r="C190" s="26" t="s">
        <v>147</v>
      </c>
      <c r="D190" s="26"/>
      <c r="E190" s="234" t="s">
        <v>148</v>
      </c>
      <c r="F190" s="234"/>
      <c r="G190" s="29"/>
      <c r="H190" s="46">
        <f>SUM(H191:H197)</f>
        <v>57340000</v>
      </c>
      <c r="I190" s="46">
        <f>SUM(I191:I197)</f>
        <v>57340000</v>
      </c>
    </row>
    <row r="191" spans="1:9" ht="15.75" customHeight="1">
      <c r="A191" s="103" t="s">
        <v>566</v>
      </c>
      <c r="B191" s="21"/>
      <c r="C191" s="29"/>
      <c r="D191" s="29" t="s">
        <v>149</v>
      </c>
      <c r="E191" s="225" t="s">
        <v>150</v>
      </c>
      <c r="F191" s="225"/>
      <c r="G191" s="29"/>
      <c r="H191" s="45">
        <v>48000000</v>
      </c>
      <c r="I191" s="45">
        <v>48000000</v>
      </c>
    </row>
    <row r="192" spans="1:9" ht="15.75" customHeight="1">
      <c r="A192" s="103" t="s">
        <v>567</v>
      </c>
      <c r="B192" s="21"/>
      <c r="C192" s="29"/>
      <c r="D192" s="29" t="s">
        <v>299</v>
      </c>
      <c r="E192" s="225" t="s">
        <v>308</v>
      </c>
      <c r="F192" s="225"/>
      <c r="G192" s="29"/>
      <c r="H192" s="45">
        <v>2000000</v>
      </c>
      <c r="I192" s="45">
        <v>2000000</v>
      </c>
    </row>
    <row r="193" spans="1:9" ht="15.75" customHeight="1">
      <c r="A193" s="103" t="s">
        <v>568</v>
      </c>
      <c r="B193" s="21"/>
      <c r="C193" s="29"/>
      <c r="D193" s="29" t="s">
        <v>221</v>
      </c>
      <c r="E193" s="225" t="s">
        <v>222</v>
      </c>
      <c r="F193" s="225"/>
      <c r="G193" s="29"/>
      <c r="H193" s="44">
        <v>3000000</v>
      </c>
      <c r="I193" s="44">
        <v>3000000</v>
      </c>
    </row>
    <row r="194" spans="1:9" ht="15.75" customHeight="1">
      <c r="A194" s="103" t="s">
        <v>569</v>
      </c>
      <c r="B194" s="21"/>
      <c r="C194" s="29"/>
      <c r="D194" s="29" t="s">
        <v>364</v>
      </c>
      <c r="E194" s="225" t="s">
        <v>365</v>
      </c>
      <c r="F194" s="225"/>
      <c r="G194" s="29"/>
      <c r="H194" s="44">
        <v>520000</v>
      </c>
      <c r="I194" s="44">
        <v>520000</v>
      </c>
    </row>
    <row r="195" spans="1:9" ht="15.75" customHeight="1">
      <c r="A195" s="103" t="s">
        <v>570</v>
      </c>
      <c r="B195" s="28"/>
      <c r="C195" s="29"/>
      <c r="D195" s="29" t="s">
        <v>151</v>
      </c>
      <c r="E195" s="225" t="s">
        <v>152</v>
      </c>
      <c r="F195" s="225"/>
      <c r="G195" s="29"/>
      <c r="H195" s="44">
        <v>2900000</v>
      </c>
      <c r="I195" s="44">
        <v>2900000</v>
      </c>
    </row>
    <row r="196" spans="1:9" ht="15.75" customHeight="1">
      <c r="A196" s="103" t="s">
        <v>571</v>
      </c>
      <c r="B196" s="28"/>
      <c r="C196" s="29"/>
      <c r="D196" s="29" t="s">
        <v>234</v>
      </c>
      <c r="E196" s="225" t="s">
        <v>235</v>
      </c>
      <c r="F196" s="225"/>
      <c r="G196" s="29"/>
      <c r="H196" s="44">
        <v>120000</v>
      </c>
      <c r="I196" s="44">
        <v>120000</v>
      </c>
    </row>
    <row r="197" spans="1:9" ht="15.75" customHeight="1">
      <c r="A197" s="103" t="s">
        <v>572</v>
      </c>
      <c r="B197" s="28"/>
      <c r="C197" s="29"/>
      <c r="D197" s="28" t="s">
        <v>210</v>
      </c>
      <c r="E197" s="225" t="s">
        <v>319</v>
      </c>
      <c r="F197" s="225"/>
      <c r="G197" s="29"/>
      <c r="H197" s="44">
        <v>800000</v>
      </c>
      <c r="I197" s="44">
        <v>800000</v>
      </c>
    </row>
    <row r="198" spans="1:9" ht="15.75" customHeight="1">
      <c r="A198" s="103" t="s">
        <v>573</v>
      </c>
      <c r="B198" s="28"/>
      <c r="C198" s="26" t="s">
        <v>153</v>
      </c>
      <c r="D198" s="26"/>
      <c r="E198" s="234" t="s">
        <v>154</v>
      </c>
      <c r="F198" s="234"/>
      <c r="G198" s="26"/>
      <c r="H198" s="46">
        <f>H199+H200</f>
        <v>2700000</v>
      </c>
      <c r="I198" s="46">
        <f>I199+I200</f>
        <v>2721874</v>
      </c>
    </row>
    <row r="199" spans="1:9" ht="15.75" customHeight="1">
      <c r="A199" s="103" t="s">
        <v>574</v>
      </c>
      <c r="B199" s="28"/>
      <c r="C199" s="29"/>
      <c r="D199" s="29" t="s">
        <v>236</v>
      </c>
      <c r="E199" s="225" t="s">
        <v>237</v>
      </c>
      <c r="F199" s="225"/>
      <c r="G199" s="29"/>
      <c r="H199" s="44">
        <v>2200000</v>
      </c>
      <c r="I199" s="44">
        <v>2200000</v>
      </c>
    </row>
    <row r="200" spans="1:9" ht="15.75" customHeight="1">
      <c r="A200" s="103" t="s">
        <v>575</v>
      </c>
      <c r="B200" s="28"/>
      <c r="C200" s="29"/>
      <c r="D200" s="29" t="s">
        <v>160</v>
      </c>
      <c r="E200" s="225" t="s">
        <v>161</v>
      </c>
      <c r="F200" s="225"/>
      <c r="G200" s="29"/>
      <c r="H200" s="44">
        <v>500000</v>
      </c>
      <c r="I200" s="44">
        <f>500000+21874</f>
        <v>521874</v>
      </c>
    </row>
    <row r="201" spans="1:9" ht="15.75" customHeight="1">
      <c r="A201" s="103" t="s">
        <v>576</v>
      </c>
      <c r="B201" s="25" t="s">
        <v>25</v>
      </c>
      <c r="C201" s="26"/>
      <c r="D201" s="234" t="s">
        <v>162</v>
      </c>
      <c r="E201" s="234"/>
      <c r="F201" s="234"/>
      <c r="G201" s="29"/>
      <c r="H201" s="46">
        <f>SUM(H202:H203)</f>
        <v>8224600</v>
      </c>
      <c r="I201" s="46">
        <f>SUM(I202:I203)</f>
        <v>8224600</v>
      </c>
    </row>
    <row r="202" spans="1:9" ht="15.75" customHeight="1">
      <c r="A202" s="103" t="s">
        <v>577</v>
      </c>
      <c r="B202" s="28"/>
      <c r="C202" s="29"/>
      <c r="D202" s="29" t="s">
        <v>223</v>
      </c>
      <c r="E202" s="237" t="s">
        <v>163</v>
      </c>
      <c r="F202" s="237"/>
      <c r="G202" s="29"/>
      <c r="H202" s="45">
        <f>(H189-H196)*0.13</f>
        <v>7789600</v>
      </c>
      <c r="I202" s="45">
        <v>7789600</v>
      </c>
    </row>
    <row r="203" spans="1:9" ht="15.75" customHeight="1">
      <c r="A203" s="103" t="s">
        <v>578</v>
      </c>
      <c r="B203" s="28"/>
      <c r="C203" s="29"/>
      <c r="D203" s="29" t="s">
        <v>238</v>
      </c>
      <c r="E203" s="237" t="s">
        <v>164</v>
      </c>
      <c r="F203" s="237"/>
      <c r="G203" s="29"/>
      <c r="H203" s="44">
        <f>H195*0.15</f>
        <v>435000</v>
      </c>
      <c r="I203" s="44">
        <f>I195*0.15</f>
        <v>435000</v>
      </c>
    </row>
    <row r="204" spans="1:9" ht="15.75" customHeight="1">
      <c r="A204" s="103" t="s">
        <v>579</v>
      </c>
      <c r="B204" s="25" t="s">
        <v>27</v>
      </c>
      <c r="C204" s="26"/>
      <c r="D204" s="234" t="s">
        <v>28</v>
      </c>
      <c r="E204" s="234"/>
      <c r="F204" s="234"/>
      <c r="G204" s="29"/>
      <c r="H204" s="46">
        <f>H205+H208+H211+H215</f>
        <v>22900000</v>
      </c>
      <c r="I204" s="46">
        <f>I205+I208+I211+I215</f>
        <v>22905906</v>
      </c>
    </row>
    <row r="205" spans="1:9" ht="15.75" customHeight="1">
      <c r="A205" s="103" t="s">
        <v>580</v>
      </c>
      <c r="B205" s="34"/>
      <c r="C205" s="26" t="s">
        <v>165</v>
      </c>
      <c r="D205" s="35"/>
      <c r="E205" s="234" t="s">
        <v>166</v>
      </c>
      <c r="F205" s="234"/>
      <c r="G205" s="29"/>
      <c r="H205" s="46">
        <f>H206+H207</f>
        <v>5100000</v>
      </c>
      <c r="I205" s="46">
        <f>I206+I207</f>
        <v>5100000</v>
      </c>
    </row>
    <row r="206" spans="1:9" ht="15.75" customHeight="1">
      <c r="A206" s="103" t="s">
        <v>581</v>
      </c>
      <c r="B206" s="28"/>
      <c r="C206" s="29"/>
      <c r="D206" s="29" t="s">
        <v>167</v>
      </c>
      <c r="E206" s="225" t="s">
        <v>168</v>
      </c>
      <c r="F206" s="225"/>
      <c r="G206" s="29"/>
      <c r="H206" s="44">
        <v>100000</v>
      </c>
      <c r="I206" s="44">
        <v>100000</v>
      </c>
    </row>
    <row r="207" spans="1:9" ht="15.75" customHeight="1">
      <c r="A207" s="103" t="s">
        <v>582</v>
      </c>
      <c r="B207" s="28"/>
      <c r="C207" s="29"/>
      <c r="D207" s="29" t="s">
        <v>170</v>
      </c>
      <c r="E207" s="225" t="s">
        <v>171</v>
      </c>
      <c r="F207" s="225"/>
      <c r="G207" s="29"/>
      <c r="H207" s="44">
        <v>5000000</v>
      </c>
      <c r="I207" s="44">
        <v>5000000</v>
      </c>
    </row>
    <row r="208" spans="1:9" ht="15.75" customHeight="1">
      <c r="A208" s="103" t="s">
        <v>583</v>
      </c>
      <c r="B208" s="34"/>
      <c r="C208" s="26" t="s">
        <v>173</v>
      </c>
      <c r="D208" s="35"/>
      <c r="E208" s="234" t="s">
        <v>174</v>
      </c>
      <c r="F208" s="234"/>
      <c r="G208" s="29"/>
      <c r="H208" s="46">
        <f>H209+H210</f>
        <v>1000000</v>
      </c>
      <c r="I208" s="46">
        <f>I209+I210</f>
        <v>1000000</v>
      </c>
    </row>
    <row r="209" spans="1:9" ht="15.75" customHeight="1">
      <c r="A209" s="103" t="s">
        <v>584</v>
      </c>
      <c r="B209" s="28"/>
      <c r="C209" s="29"/>
      <c r="D209" s="29" t="s">
        <v>175</v>
      </c>
      <c r="E209" s="225" t="s">
        <v>176</v>
      </c>
      <c r="F209" s="225"/>
      <c r="G209" s="29"/>
      <c r="H209" s="44">
        <v>700000</v>
      </c>
      <c r="I209" s="44">
        <v>700000</v>
      </c>
    </row>
    <row r="210" spans="1:9" ht="15.75" customHeight="1">
      <c r="A210" s="103" t="s">
        <v>585</v>
      </c>
      <c r="B210" s="28"/>
      <c r="C210" s="29"/>
      <c r="D210" s="29" t="s">
        <v>177</v>
      </c>
      <c r="E210" s="225" t="s">
        <v>178</v>
      </c>
      <c r="F210" s="225"/>
      <c r="G210" s="29"/>
      <c r="H210" s="44">
        <v>300000</v>
      </c>
      <c r="I210" s="44">
        <v>300000</v>
      </c>
    </row>
    <row r="211" spans="1:9" ht="15.75" customHeight="1">
      <c r="A211" s="103" t="s">
        <v>586</v>
      </c>
      <c r="B211" s="34"/>
      <c r="C211" s="26" t="s">
        <v>179</v>
      </c>
      <c r="D211" s="35"/>
      <c r="E211" s="234" t="s">
        <v>180</v>
      </c>
      <c r="F211" s="234"/>
      <c r="G211" s="29"/>
      <c r="H211" s="46">
        <f>H212+H213+H214</f>
        <v>12800000</v>
      </c>
      <c r="I211" s="46">
        <f>I212+I213+I214</f>
        <v>12800000</v>
      </c>
    </row>
    <row r="212" spans="1:9" ht="15.75" customHeight="1">
      <c r="A212" s="103" t="s">
        <v>587</v>
      </c>
      <c r="B212" s="28"/>
      <c r="C212" s="29"/>
      <c r="D212" s="29" t="s">
        <v>181</v>
      </c>
      <c r="E212" s="225" t="s">
        <v>182</v>
      </c>
      <c r="F212" s="225"/>
      <c r="G212" s="29"/>
      <c r="H212" s="44">
        <v>3800000</v>
      </c>
      <c r="I212" s="44">
        <v>3800000</v>
      </c>
    </row>
    <row r="213" spans="1:9" ht="15.75" customHeight="1">
      <c r="A213" s="103" t="s">
        <v>588</v>
      </c>
      <c r="B213" s="28"/>
      <c r="C213" s="29"/>
      <c r="D213" s="29" t="s">
        <v>185</v>
      </c>
      <c r="E213" s="225" t="s">
        <v>186</v>
      </c>
      <c r="F213" s="225"/>
      <c r="G213" s="29"/>
      <c r="H213" s="44">
        <v>3000000</v>
      </c>
      <c r="I213" s="44">
        <v>3000000</v>
      </c>
    </row>
    <row r="214" spans="1:9" ht="15.75" customHeight="1">
      <c r="A214" s="103" t="s">
        <v>589</v>
      </c>
      <c r="B214" s="28"/>
      <c r="C214" s="29"/>
      <c r="D214" s="29" t="s">
        <v>187</v>
      </c>
      <c r="E214" s="225" t="s">
        <v>188</v>
      </c>
      <c r="F214" s="225"/>
      <c r="G214" s="29"/>
      <c r="H214" s="44">
        <v>6000000</v>
      </c>
      <c r="I214" s="44">
        <v>6000000</v>
      </c>
    </row>
    <row r="215" spans="1:9" ht="15.75" customHeight="1">
      <c r="A215" s="103" t="s">
        <v>590</v>
      </c>
      <c r="B215" s="34"/>
      <c r="C215" s="26" t="s">
        <v>193</v>
      </c>
      <c r="D215" s="35"/>
      <c r="E215" s="234" t="s">
        <v>194</v>
      </c>
      <c r="F215" s="234"/>
      <c r="G215" s="29"/>
      <c r="H215" s="46">
        <f>SUM(H216)</f>
        <v>4000000</v>
      </c>
      <c r="I215" s="46">
        <f>SUM(I216)</f>
        <v>4005906</v>
      </c>
    </row>
    <row r="216" spans="1:9" ht="15.75" customHeight="1">
      <c r="A216" s="103" t="s">
        <v>591</v>
      </c>
      <c r="B216" s="28"/>
      <c r="C216" s="29"/>
      <c r="D216" s="29" t="s">
        <v>195</v>
      </c>
      <c r="E216" s="225" t="s">
        <v>196</v>
      </c>
      <c r="F216" s="225"/>
      <c r="G216" s="29"/>
      <c r="H216" s="45">
        <v>4000000</v>
      </c>
      <c r="I216" s="45">
        <f>4000000+5906</f>
        <v>4005906</v>
      </c>
    </row>
    <row r="217" spans="1:9" ht="15.75" customHeight="1">
      <c r="A217" s="103" t="s">
        <v>592</v>
      </c>
      <c r="B217" s="38" t="s">
        <v>34</v>
      </c>
      <c r="C217" s="29"/>
      <c r="D217" s="234" t="s">
        <v>35</v>
      </c>
      <c r="E217" s="234"/>
      <c r="F217" s="234"/>
      <c r="G217" s="29"/>
      <c r="H217" s="45"/>
      <c r="I217" s="62">
        <f>SUM(I218:I220)</f>
        <v>1955227</v>
      </c>
    </row>
    <row r="218" spans="1:9" ht="15.75" customHeight="1">
      <c r="A218" s="103" t="s">
        <v>593</v>
      </c>
      <c r="B218" s="38"/>
      <c r="C218" s="47" t="s">
        <v>819</v>
      </c>
      <c r="D218" s="21"/>
      <c r="E218" s="201" t="s">
        <v>820</v>
      </c>
      <c r="F218" s="201"/>
      <c r="G218" s="29"/>
      <c r="H218" s="45"/>
      <c r="I218" s="45">
        <v>1039549</v>
      </c>
    </row>
    <row r="219" spans="1:9" ht="15.75" customHeight="1">
      <c r="A219" s="103" t="s">
        <v>594</v>
      </c>
      <c r="B219" s="38"/>
      <c r="C219" s="47" t="s">
        <v>305</v>
      </c>
      <c r="D219" s="21"/>
      <c r="E219" s="201" t="s">
        <v>842</v>
      </c>
      <c r="F219" s="201"/>
      <c r="G219" s="29"/>
      <c r="H219" s="45"/>
      <c r="I219" s="45">
        <v>500000</v>
      </c>
    </row>
    <row r="220" spans="1:9" ht="15.75" customHeight="1">
      <c r="A220" s="103" t="s">
        <v>595</v>
      </c>
      <c r="B220" s="28"/>
      <c r="C220" s="47" t="s">
        <v>216</v>
      </c>
      <c r="D220" s="21"/>
      <c r="E220" s="201" t="s">
        <v>217</v>
      </c>
      <c r="F220" s="201"/>
      <c r="G220" s="29"/>
      <c r="H220" s="45"/>
      <c r="I220" s="45">
        <f>280678+135000</f>
        <v>415678</v>
      </c>
    </row>
    <row r="221" spans="1:9" ht="15.75" customHeight="1">
      <c r="A221" s="103" t="s">
        <v>596</v>
      </c>
      <c r="B221" s="38" t="s">
        <v>36</v>
      </c>
      <c r="C221" s="29"/>
      <c r="D221" s="234" t="s">
        <v>37</v>
      </c>
      <c r="E221" s="234"/>
      <c r="F221" s="234"/>
      <c r="G221" s="29"/>
      <c r="H221" s="62">
        <f>SUM(H222:H223)</f>
        <v>500000</v>
      </c>
      <c r="I221" s="62">
        <f>SUM(I222:I223)</f>
        <v>635000</v>
      </c>
    </row>
    <row r="222" spans="1:9" ht="15.75" customHeight="1">
      <c r="A222" s="103" t="s">
        <v>597</v>
      </c>
      <c r="B222" s="38"/>
      <c r="C222" s="47" t="s">
        <v>225</v>
      </c>
      <c r="D222" s="21"/>
      <c r="E222" s="201" t="s">
        <v>855</v>
      </c>
      <c r="F222" s="201"/>
      <c r="G222" s="29"/>
      <c r="H222" s="45">
        <v>393700</v>
      </c>
      <c r="I222" s="45">
        <v>500000</v>
      </c>
    </row>
    <row r="223" spans="1:9" ht="15.75" customHeight="1">
      <c r="A223" s="103" t="s">
        <v>598</v>
      </c>
      <c r="B223" s="28"/>
      <c r="C223" s="47" t="s">
        <v>226</v>
      </c>
      <c r="D223" s="21"/>
      <c r="E223" s="201" t="s">
        <v>227</v>
      </c>
      <c r="F223" s="201"/>
      <c r="G223" s="29"/>
      <c r="H223" s="45">
        <v>106300</v>
      </c>
      <c r="I223" s="45">
        <v>135000</v>
      </c>
    </row>
    <row r="224" spans="1:9" ht="15.75" customHeight="1">
      <c r="A224" s="103" t="s">
        <v>599</v>
      </c>
      <c r="B224" s="28"/>
      <c r="C224" s="29"/>
      <c r="D224" s="29"/>
      <c r="E224" s="29"/>
      <c r="F224" s="29"/>
      <c r="G224" s="29"/>
      <c r="H224" s="44"/>
      <c r="I224" s="44"/>
    </row>
    <row r="225" spans="1:9" ht="15.75" customHeight="1">
      <c r="A225" s="103" t="s">
        <v>600</v>
      </c>
      <c r="B225" s="192" t="s">
        <v>239</v>
      </c>
      <c r="C225" s="192"/>
      <c r="D225" s="192"/>
      <c r="E225" s="192"/>
      <c r="F225" s="192"/>
      <c r="G225" s="48">
        <v>0.75</v>
      </c>
      <c r="H225" s="43">
        <f>H234+H246+H226+H231</f>
        <v>4599516</v>
      </c>
      <c r="I225" s="43">
        <f>I234+I246+I226+I231</f>
        <v>4599516</v>
      </c>
    </row>
    <row r="226" spans="1:9" s="68" customFormat="1" ht="15.75" customHeight="1">
      <c r="A226" s="103" t="s">
        <v>601</v>
      </c>
      <c r="B226" s="71" t="s">
        <v>23</v>
      </c>
      <c r="C226" s="72"/>
      <c r="D226" s="238" t="s">
        <v>146</v>
      </c>
      <c r="E226" s="238"/>
      <c r="F226" s="238"/>
      <c r="G226" s="82"/>
      <c r="H226" s="70">
        <f>SUM(H227)</f>
        <v>2129700</v>
      </c>
      <c r="I226" s="70">
        <f>SUM(I227)</f>
        <v>2129700</v>
      </c>
    </row>
    <row r="227" spans="1:9" s="68" customFormat="1" ht="15.75" customHeight="1">
      <c r="A227" s="103" t="s">
        <v>602</v>
      </c>
      <c r="B227" s="73"/>
      <c r="C227" s="26" t="s">
        <v>147</v>
      </c>
      <c r="D227" s="26"/>
      <c r="E227" s="234" t="s">
        <v>148</v>
      </c>
      <c r="F227" s="234"/>
      <c r="G227" s="82"/>
      <c r="H227" s="70">
        <f>SUM(H228:H230)</f>
        <v>2129700</v>
      </c>
      <c r="I227" s="70">
        <f>SUM(I228:I230)</f>
        <v>2129700</v>
      </c>
    </row>
    <row r="228" spans="1:9" s="68" customFormat="1" ht="15.75" customHeight="1">
      <c r="A228" s="103" t="s">
        <v>603</v>
      </c>
      <c r="B228" s="21"/>
      <c r="C228" s="29"/>
      <c r="D228" s="29" t="s">
        <v>149</v>
      </c>
      <c r="E228" s="225" t="s">
        <v>150</v>
      </c>
      <c r="F228" s="225"/>
      <c r="G228" s="82"/>
      <c r="H228" s="75">
        <v>1932000</v>
      </c>
      <c r="I228" s="75">
        <v>1932000</v>
      </c>
    </row>
    <row r="229" spans="1:9" s="68" customFormat="1" ht="15.75" customHeight="1">
      <c r="A229" s="103" t="s">
        <v>604</v>
      </c>
      <c r="B229" s="21"/>
      <c r="C229" s="29"/>
      <c r="D229" s="29" t="s">
        <v>299</v>
      </c>
      <c r="E229" s="225" t="s">
        <v>308</v>
      </c>
      <c r="F229" s="225"/>
      <c r="G229" s="82"/>
      <c r="H229" s="75">
        <v>80500</v>
      </c>
      <c r="I229" s="75">
        <v>80500</v>
      </c>
    </row>
    <row r="230" spans="1:9" s="68" customFormat="1" ht="15.75" customHeight="1">
      <c r="A230" s="103" t="s">
        <v>605</v>
      </c>
      <c r="B230" s="21"/>
      <c r="C230" s="29"/>
      <c r="D230" s="29" t="s">
        <v>151</v>
      </c>
      <c r="E230" s="225" t="s">
        <v>152</v>
      </c>
      <c r="F230" s="225"/>
      <c r="G230" s="82"/>
      <c r="H230" s="75">
        <v>117200</v>
      </c>
      <c r="I230" s="75">
        <v>117200</v>
      </c>
    </row>
    <row r="231" spans="1:9" s="68" customFormat="1" ht="15.75" customHeight="1">
      <c r="A231" s="103" t="s">
        <v>606</v>
      </c>
      <c r="B231" s="71" t="s">
        <v>25</v>
      </c>
      <c r="C231" s="72"/>
      <c r="D231" s="238" t="s">
        <v>162</v>
      </c>
      <c r="E231" s="238"/>
      <c r="F231" s="238"/>
      <c r="G231" s="82"/>
      <c r="H231" s="70">
        <f>SUM(H232:H233)</f>
        <v>32816</v>
      </c>
      <c r="I231" s="70">
        <f>SUM(I232:I233)</f>
        <v>32816</v>
      </c>
    </row>
    <row r="232" spans="1:9" s="68" customFormat="1" ht="15.75" customHeight="1">
      <c r="A232" s="103" t="s">
        <v>607</v>
      </c>
      <c r="B232" s="73"/>
      <c r="C232" s="74"/>
      <c r="D232" s="74" t="s">
        <v>223</v>
      </c>
      <c r="E232" s="239" t="s">
        <v>163</v>
      </c>
      <c r="F232" s="239"/>
      <c r="G232" s="82"/>
      <c r="H232" s="75">
        <f>H230*0.13</f>
        <v>15236</v>
      </c>
      <c r="I232" s="75">
        <f>I230*0.13</f>
        <v>15236</v>
      </c>
    </row>
    <row r="233" spans="1:9" s="68" customFormat="1" ht="15.75" customHeight="1">
      <c r="A233" s="103" t="s">
        <v>608</v>
      </c>
      <c r="B233" s="73"/>
      <c r="C233" s="74"/>
      <c r="D233" s="74"/>
      <c r="E233" s="237" t="s">
        <v>164</v>
      </c>
      <c r="F233" s="237"/>
      <c r="G233" s="82"/>
      <c r="H233" s="75">
        <f>H230*0.15</f>
        <v>17580</v>
      </c>
      <c r="I233" s="75">
        <f>I230*0.15</f>
        <v>17580</v>
      </c>
    </row>
    <row r="234" spans="1:9" ht="15.75" customHeight="1">
      <c r="A234" s="103" t="s">
        <v>609</v>
      </c>
      <c r="B234" s="25" t="s">
        <v>27</v>
      </c>
      <c r="C234" s="26"/>
      <c r="D234" s="234" t="s">
        <v>28</v>
      </c>
      <c r="E234" s="234"/>
      <c r="F234" s="234"/>
      <c r="G234" s="29"/>
      <c r="H234" s="46">
        <f>H237+H240+H244+H235</f>
        <v>1450000</v>
      </c>
      <c r="I234" s="46">
        <f>I237+I240+I244+I235</f>
        <v>1450000</v>
      </c>
    </row>
    <row r="235" spans="1:9" ht="15.75" customHeight="1">
      <c r="A235" s="103" t="s">
        <v>610</v>
      </c>
      <c r="B235" s="25"/>
      <c r="C235" s="60"/>
      <c r="D235" s="31"/>
      <c r="E235" s="234" t="s">
        <v>166</v>
      </c>
      <c r="F235" s="234"/>
      <c r="G235" s="29"/>
      <c r="H235" s="46">
        <f>H236</f>
        <v>50000</v>
      </c>
      <c r="I235" s="46">
        <f>I236</f>
        <v>50000</v>
      </c>
    </row>
    <row r="236" spans="1:9" ht="15.75" customHeight="1">
      <c r="A236" s="103" t="s">
        <v>611</v>
      </c>
      <c r="B236" s="25"/>
      <c r="C236" s="26"/>
      <c r="D236" s="29" t="s">
        <v>167</v>
      </c>
      <c r="E236" s="225" t="s">
        <v>168</v>
      </c>
      <c r="F236" s="225"/>
      <c r="G236" s="29"/>
      <c r="H236" s="44">
        <v>50000</v>
      </c>
      <c r="I236" s="44">
        <v>50000</v>
      </c>
    </row>
    <row r="237" spans="1:9" ht="15.75" customHeight="1">
      <c r="A237" s="103" t="s">
        <v>612</v>
      </c>
      <c r="B237" s="34"/>
      <c r="C237" s="26" t="s">
        <v>173</v>
      </c>
      <c r="D237" s="35"/>
      <c r="E237" s="234" t="s">
        <v>174</v>
      </c>
      <c r="F237" s="234"/>
      <c r="G237" s="29"/>
      <c r="H237" s="46">
        <f>H239+H238</f>
        <v>350000</v>
      </c>
      <c r="I237" s="46">
        <f>I239+I238</f>
        <v>350000</v>
      </c>
    </row>
    <row r="238" spans="1:9" ht="15.75" customHeight="1">
      <c r="A238" s="103" t="s">
        <v>613</v>
      </c>
      <c r="B238" s="34"/>
      <c r="C238" s="26"/>
      <c r="D238" s="29" t="s">
        <v>175</v>
      </c>
      <c r="E238" s="225" t="s">
        <v>176</v>
      </c>
      <c r="F238" s="225"/>
      <c r="G238" s="29"/>
      <c r="H238" s="44">
        <v>150000</v>
      </c>
      <c r="I238" s="44">
        <v>150000</v>
      </c>
    </row>
    <row r="239" spans="1:9" ht="15.75" customHeight="1">
      <c r="A239" s="103" t="s">
        <v>614</v>
      </c>
      <c r="B239" s="28"/>
      <c r="C239" s="29"/>
      <c r="D239" s="29" t="s">
        <v>177</v>
      </c>
      <c r="E239" s="225" t="s">
        <v>178</v>
      </c>
      <c r="F239" s="225"/>
      <c r="G239" s="29"/>
      <c r="H239" s="44">
        <v>200000</v>
      </c>
      <c r="I239" s="44">
        <v>200000</v>
      </c>
    </row>
    <row r="240" spans="1:9" ht="15.75" customHeight="1">
      <c r="A240" s="103" t="s">
        <v>615</v>
      </c>
      <c r="B240" s="34"/>
      <c r="C240" s="26" t="s">
        <v>179</v>
      </c>
      <c r="D240" s="35"/>
      <c r="E240" s="234" t="s">
        <v>180</v>
      </c>
      <c r="F240" s="234"/>
      <c r="G240" s="29"/>
      <c r="H240" s="46">
        <f>H241+H242+H243</f>
        <v>800000</v>
      </c>
      <c r="I240" s="46">
        <f>I241+I242+I243</f>
        <v>800000</v>
      </c>
    </row>
    <row r="241" spans="1:9" ht="15.75" customHeight="1">
      <c r="A241" s="103" t="s">
        <v>616</v>
      </c>
      <c r="B241" s="28"/>
      <c r="C241" s="29"/>
      <c r="D241" s="29" t="s">
        <v>181</v>
      </c>
      <c r="E241" s="225" t="s">
        <v>182</v>
      </c>
      <c r="F241" s="225"/>
      <c r="G241" s="29"/>
      <c r="H241" s="44">
        <v>600000</v>
      </c>
      <c r="I241" s="44">
        <v>600000</v>
      </c>
    </row>
    <row r="242" spans="1:9" ht="15.75" customHeight="1">
      <c r="A242" s="103" t="s">
        <v>617</v>
      </c>
      <c r="B242" s="28"/>
      <c r="C242" s="29"/>
      <c r="D242" s="29" t="s">
        <v>185</v>
      </c>
      <c r="E242" s="225" t="s">
        <v>186</v>
      </c>
      <c r="F242" s="225"/>
      <c r="G242" s="29"/>
      <c r="H242" s="44">
        <v>50000</v>
      </c>
      <c r="I242" s="44">
        <v>50000</v>
      </c>
    </row>
    <row r="243" spans="1:9" ht="15.75" customHeight="1">
      <c r="A243" s="103" t="s">
        <v>618</v>
      </c>
      <c r="B243" s="28"/>
      <c r="C243" s="29"/>
      <c r="D243" s="29" t="s">
        <v>187</v>
      </c>
      <c r="E243" s="225" t="s">
        <v>188</v>
      </c>
      <c r="F243" s="225"/>
      <c r="G243" s="29"/>
      <c r="H243" s="44">
        <v>150000</v>
      </c>
      <c r="I243" s="44">
        <v>150000</v>
      </c>
    </row>
    <row r="244" spans="1:9" ht="15.75" customHeight="1">
      <c r="A244" s="103" t="s">
        <v>619</v>
      </c>
      <c r="B244" s="34"/>
      <c r="C244" s="26" t="s">
        <v>193</v>
      </c>
      <c r="D244" s="35"/>
      <c r="E244" s="234" t="s">
        <v>194</v>
      </c>
      <c r="F244" s="234"/>
      <c r="G244" s="29"/>
      <c r="H244" s="46">
        <f>SUM(H245)</f>
        <v>250000</v>
      </c>
      <c r="I244" s="46">
        <f>SUM(I245)</f>
        <v>250000</v>
      </c>
    </row>
    <row r="245" spans="1:9" ht="15.75" customHeight="1">
      <c r="A245" s="103" t="s">
        <v>620</v>
      </c>
      <c r="B245" s="28"/>
      <c r="C245" s="29"/>
      <c r="D245" s="29" t="s">
        <v>195</v>
      </c>
      <c r="E245" s="225" t="s">
        <v>196</v>
      </c>
      <c r="F245" s="225"/>
      <c r="G245" s="29"/>
      <c r="H245" s="44">
        <v>250000</v>
      </c>
      <c r="I245" s="44">
        <v>250000</v>
      </c>
    </row>
    <row r="246" spans="1:9" ht="15.75" customHeight="1">
      <c r="A246" s="103" t="s">
        <v>621</v>
      </c>
      <c r="B246" s="25" t="s">
        <v>31</v>
      </c>
      <c r="C246" s="26"/>
      <c r="D246" s="234" t="s">
        <v>32</v>
      </c>
      <c r="E246" s="234"/>
      <c r="F246" s="234"/>
      <c r="G246" s="29"/>
      <c r="H246" s="46">
        <f>SUM(H247)</f>
        <v>987000</v>
      </c>
      <c r="I246" s="46">
        <f>SUM(I247)</f>
        <v>987000</v>
      </c>
    </row>
    <row r="247" spans="1:9" ht="15.75" customHeight="1">
      <c r="A247" s="103" t="s">
        <v>622</v>
      </c>
      <c r="B247" s="28"/>
      <c r="C247" s="29"/>
      <c r="D247" s="29" t="s">
        <v>198</v>
      </c>
      <c r="E247" s="225" t="s">
        <v>318</v>
      </c>
      <c r="F247" s="225"/>
      <c r="G247" s="29"/>
      <c r="H247" s="45">
        <v>987000</v>
      </c>
      <c r="I247" s="45">
        <v>987000</v>
      </c>
    </row>
    <row r="248" spans="1:9" ht="15.75" customHeight="1">
      <c r="A248" s="103" t="s">
        <v>623</v>
      </c>
      <c r="B248" s="28"/>
      <c r="C248" s="29"/>
      <c r="D248" s="29"/>
      <c r="E248" s="29"/>
      <c r="F248" s="29"/>
      <c r="G248" s="29"/>
      <c r="H248" s="44"/>
      <c r="I248" s="44"/>
    </row>
    <row r="249" spans="1:9" ht="15.75" customHeight="1">
      <c r="A249" s="103" t="s">
        <v>624</v>
      </c>
      <c r="B249" s="192" t="s">
        <v>108</v>
      </c>
      <c r="C249" s="192"/>
      <c r="D249" s="192"/>
      <c r="E249" s="192"/>
      <c r="F249" s="192"/>
      <c r="G249" s="41"/>
      <c r="H249" s="43">
        <f>H250+H256</f>
        <v>3190000</v>
      </c>
      <c r="I249" s="43">
        <f>I250+I256</f>
        <v>3190000</v>
      </c>
    </row>
    <row r="250" spans="1:9" ht="15.75" customHeight="1">
      <c r="A250" s="103" t="s">
        <v>625</v>
      </c>
      <c r="B250" s="25" t="s">
        <v>27</v>
      </c>
      <c r="C250" s="26"/>
      <c r="D250" s="234" t="s">
        <v>28</v>
      </c>
      <c r="E250" s="234"/>
      <c r="F250" s="234"/>
      <c r="G250" s="29"/>
      <c r="H250" s="46">
        <f>H251+H254</f>
        <v>690000</v>
      </c>
      <c r="I250" s="46">
        <f>I251+I254</f>
        <v>690000</v>
      </c>
    </row>
    <row r="251" spans="1:9" ht="15.75" customHeight="1">
      <c r="A251" s="103" t="s">
        <v>626</v>
      </c>
      <c r="B251" s="34"/>
      <c r="C251" s="26" t="s">
        <v>179</v>
      </c>
      <c r="D251" s="35"/>
      <c r="E251" s="234" t="s">
        <v>180</v>
      </c>
      <c r="F251" s="234"/>
      <c r="G251" s="29"/>
      <c r="H251" s="46">
        <f>H252+H253</f>
        <v>550000</v>
      </c>
      <c r="I251" s="46">
        <f>I252+I253</f>
        <v>550000</v>
      </c>
    </row>
    <row r="252" spans="1:9" ht="15.75" customHeight="1">
      <c r="A252" s="103" t="s">
        <v>627</v>
      </c>
      <c r="B252" s="28"/>
      <c r="C252" s="29"/>
      <c r="D252" s="29" t="s">
        <v>181</v>
      </c>
      <c r="E252" s="225" t="s">
        <v>182</v>
      </c>
      <c r="F252" s="225"/>
      <c r="G252" s="29"/>
      <c r="H252" s="44">
        <v>500000</v>
      </c>
      <c r="I252" s="44">
        <v>500000</v>
      </c>
    </row>
    <row r="253" spans="1:9" ht="15.75" customHeight="1">
      <c r="A253" s="103" t="s">
        <v>628</v>
      </c>
      <c r="B253" s="28"/>
      <c r="C253" s="29"/>
      <c r="D253" s="29" t="s">
        <v>185</v>
      </c>
      <c r="E253" s="225" t="s">
        <v>186</v>
      </c>
      <c r="F253" s="225"/>
      <c r="G253" s="29"/>
      <c r="H253" s="44">
        <v>50000</v>
      </c>
      <c r="I253" s="44">
        <v>50000</v>
      </c>
    </row>
    <row r="254" spans="1:9" ht="15.75" customHeight="1">
      <c r="A254" s="103" t="s">
        <v>629</v>
      </c>
      <c r="B254" s="34"/>
      <c r="C254" s="26" t="s">
        <v>193</v>
      </c>
      <c r="D254" s="35"/>
      <c r="E254" s="26" t="s">
        <v>194</v>
      </c>
      <c r="F254" s="35"/>
      <c r="G254" s="29"/>
      <c r="H254" s="46">
        <f>SUM(H255)</f>
        <v>140000</v>
      </c>
      <c r="I254" s="46">
        <f>SUM(I255)</f>
        <v>140000</v>
      </c>
    </row>
    <row r="255" spans="1:9" ht="15.75" customHeight="1">
      <c r="A255" s="103" t="s">
        <v>630</v>
      </c>
      <c r="B255" s="28"/>
      <c r="C255" s="29"/>
      <c r="D255" s="29" t="s">
        <v>195</v>
      </c>
      <c r="E255" s="29" t="s">
        <v>196</v>
      </c>
      <c r="F255" s="29"/>
      <c r="G255" s="29"/>
      <c r="H255" s="44">
        <v>140000</v>
      </c>
      <c r="I255" s="44">
        <v>140000</v>
      </c>
    </row>
    <row r="256" spans="1:9" ht="15.75" customHeight="1">
      <c r="A256" s="103" t="s">
        <v>631</v>
      </c>
      <c r="B256" s="25" t="s">
        <v>31</v>
      </c>
      <c r="C256" s="26"/>
      <c r="D256" s="26" t="s">
        <v>32</v>
      </c>
      <c r="E256" s="26"/>
      <c r="F256" s="26"/>
      <c r="G256" s="29"/>
      <c r="H256" s="46">
        <f>SUM(H257)</f>
        <v>2500000</v>
      </c>
      <c r="I256" s="46">
        <f>SUM(I257)</f>
        <v>2500000</v>
      </c>
    </row>
    <row r="257" spans="1:9" ht="15.75" customHeight="1">
      <c r="A257" s="103" t="s">
        <v>632</v>
      </c>
      <c r="B257" s="28"/>
      <c r="C257" s="29"/>
      <c r="D257" s="29" t="s">
        <v>198</v>
      </c>
      <c r="E257" s="29" t="s">
        <v>199</v>
      </c>
      <c r="F257" s="29"/>
      <c r="G257" s="29"/>
      <c r="H257" s="44">
        <v>2500000</v>
      </c>
      <c r="I257" s="44">
        <v>2500000</v>
      </c>
    </row>
    <row r="258" spans="1:9" ht="15.75" customHeight="1">
      <c r="A258" s="103" t="s">
        <v>633</v>
      </c>
      <c r="B258" s="28"/>
      <c r="C258" s="29"/>
      <c r="D258" s="29"/>
      <c r="E258" s="29"/>
      <c r="F258" s="29"/>
      <c r="G258" s="29"/>
      <c r="H258" s="44"/>
      <c r="I258" s="44"/>
    </row>
    <row r="259" spans="1:9" ht="15.75" customHeight="1">
      <c r="A259" s="103" t="s">
        <v>634</v>
      </c>
      <c r="B259" s="192" t="s">
        <v>109</v>
      </c>
      <c r="C259" s="192"/>
      <c r="D259" s="192"/>
      <c r="E259" s="192"/>
      <c r="F259" s="192"/>
      <c r="G259" s="48">
        <v>1</v>
      </c>
      <c r="H259" s="43">
        <f>H260+H267+H270</f>
        <v>11613124.13</v>
      </c>
      <c r="I259" s="43">
        <f>I260+I267+I270</f>
        <v>11613124.13</v>
      </c>
    </row>
    <row r="260" spans="1:9" ht="15.75" customHeight="1">
      <c r="A260" s="103" t="s">
        <v>635</v>
      </c>
      <c r="B260" s="25" t="s">
        <v>23</v>
      </c>
      <c r="C260" s="26"/>
      <c r="D260" s="234" t="s">
        <v>146</v>
      </c>
      <c r="E260" s="234"/>
      <c r="F260" s="234"/>
      <c r="G260" s="29"/>
      <c r="H260" s="46">
        <f>H261</f>
        <v>8733351</v>
      </c>
      <c r="I260" s="46">
        <f>I261</f>
        <v>8733351</v>
      </c>
    </row>
    <row r="261" spans="1:9" ht="15.75" customHeight="1">
      <c r="A261" s="103" t="s">
        <v>636</v>
      </c>
      <c r="B261" s="28"/>
      <c r="C261" s="26" t="s">
        <v>147</v>
      </c>
      <c r="D261" s="26"/>
      <c r="E261" s="234" t="s">
        <v>148</v>
      </c>
      <c r="F261" s="234"/>
      <c r="G261" s="29"/>
      <c r="H261" s="46">
        <f>SUM(H262:H266)</f>
        <v>8733351</v>
      </c>
      <c r="I261" s="46">
        <f>SUM(I262:I266)</f>
        <v>8733351</v>
      </c>
    </row>
    <row r="262" spans="1:9" ht="15.75" customHeight="1">
      <c r="A262" s="103" t="s">
        <v>637</v>
      </c>
      <c r="B262" s="21"/>
      <c r="C262" s="29"/>
      <c r="D262" s="29" t="s">
        <v>149</v>
      </c>
      <c r="E262" s="225" t="s">
        <v>150</v>
      </c>
      <c r="F262" s="225"/>
      <c r="G262" s="29"/>
      <c r="H262" s="44">
        <v>6808000</v>
      </c>
      <c r="I262" s="44">
        <v>6808000</v>
      </c>
    </row>
    <row r="263" spans="1:9" ht="15.75" customHeight="1">
      <c r="A263" s="103" t="s">
        <v>638</v>
      </c>
      <c r="B263" s="21"/>
      <c r="C263" s="29"/>
      <c r="D263" s="29" t="s">
        <v>299</v>
      </c>
      <c r="E263" s="225" t="s">
        <v>308</v>
      </c>
      <c r="F263" s="225"/>
      <c r="G263" s="29"/>
      <c r="H263" s="44">
        <v>150000</v>
      </c>
      <c r="I263" s="44">
        <v>150000</v>
      </c>
    </row>
    <row r="264" spans="1:9" ht="15.75" customHeight="1">
      <c r="A264" s="103" t="s">
        <v>639</v>
      </c>
      <c r="B264" s="21"/>
      <c r="C264" s="29"/>
      <c r="D264" s="29" t="s">
        <v>366</v>
      </c>
      <c r="E264" s="225" t="s">
        <v>365</v>
      </c>
      <c r="F264" s="225"/>
      <c r="G264" s="29"/>
      <c r="H264" s="44">
        <v>1609101</v>
      </c>
      <c r="I264" s="44">
        <v>1609101</v>
      </c>
    </row>
    <row r="265" spans="1:9" ht="15.75" customHeight="1">
      <c r="A265" s="103" t="s">
        <v>640</v>
      </c>
      <c r="B265" s="28"/>
      <c r="C265" s="29"/>
      <c r="D265" s="29" t="s">
        <v>151</v>
      </c>
      <c r="E265" s="225" t="s">
        <v>152</v>
      </c>
      <c r="F265" s="225"/>
      <c r="G265" s="29"/>
      <c r="H265" s="44">
        <v>156250</v>
      </c>
      <c r="I265" s="44">
        <v>156250</v>
      </c>
    </row>
    <row r="266" spans="1:9" ht="15.75" customHeight="1">
      <c r="A266" s="103" t="s">
        <v>641</v>
      </c>
      <c r="B266" s="28"/>
      <c r="C266" s="29"/>
      <c r="D266" s="28" t="s">
        <v>210</v>
      </c>
      <c r="E266" s="225" t="s">
        <v>148</v>
      </c>
      <c r="F266" s="225"/>
      <c r="G266" s="29"/>
      <c r="H266" s="44">
        <v>10000</v>
      </c>
      <c r="I266" s="44">
        <v>10000</v>
      </c>
    </row>
    <row r="267" spans="1:9" ht="15.75" customHeight="1">
      <c r="A267" s="103" t="s">
        <v>642</v>
      </c>
      <c r="B267" s="25" t="s">
        <v>25</v>
      </c>
      <c r="C267" s="26"/>
      <c r="D267" s="234" t="s">
        <v>162</v>
      </c>
      <c r="E267" s="234"/>
      <c r="F267" s="234"/>
      <c r="G267" s="29"/>
      <c r="H267" s="46">
        <f>SUM(H268:H269)</f>
        <v>1158773.1300000001</v>
      </c>
      <c r="I267" s="46">
        <f>SUM(I268:I269)</f>
        <v>1158773.1300000001</v>
      </c>
    </row>
    <row r="268" spans="1:9" ht="15.75" customHeight="1">
      <c r="A268" s="103" t="s">
        <v>643</v>
      </c>
      <c r="B268" s="28"/>
      <c r="C268" s="29"/>
      <c r="D268" s="29"/>
      <c r="E268" s="237" t="s">
        <v>163</v>
      </c>
      <c r="F268" s="237"/>
      <c r="G268" s="29"/>
      <c r="H268" s="44">
        <f>H260*0.13</f>
        <v>1135335.6300000001</v>
      </c>
      <c r="I268" s="44">
        <f>I260*0.13</f>
        <v>1135335.6300000001</v>
      </c>
    </row>
    <row r="269" spans="1:9" ht="15.75" customHeight="1">
      <c r="A269" s="103" t="s">
        <v>644</v>
      </c>
      <c r="B269" s="28"/>
      <c r="C269" s="29"/>
      <c r="D269" s="29"/>
      <c r="E269" s="237" t="s">
        <v>164</v>
      </c>
      <c r="F269" s="237"/>
      <c r="G269" s="29"/>
      <c r="H269" s="44">
        <f>H265*0.15</f>
        <v>23437.5</v>
      </c>
      <c r="I269" s="44">
        <f>I265*0.15</f>
        <v>23437.5</v>
      </c>
    </row>
    <row r="270" spans="1:9" ht="15.75" customHeight="1">
      <c r="A270" s="103" t="s">
        <v>645</v>
      </c>
      <c r="B270" s="25" t="s">
        <v>27</v>
      </c>
      <c r="C270" s="26"/>
      <c r="D270" s="234" t="s">
        <v>28</v>
      </c>
      <c r="E270" s="234"/>
      <c r="F270" s="234"/>
      <c r="G270" s="29"/>
      <c r="H270" s="46">
        <f>H271+H274+H277+H281+H283</f>
        <v>1721000</v>
      </c>
      <c r="I270" s="46">
        <f>I271+I274+I277+I281+I283</f>
        <v>1721000</v>
      </c>
    </row>
    <row r="271" spans="1:9" ht="15.75" customHeight="1">
      <c r="A271" s="103" t="s">
        <v>646</v>
      </c>
      <c r="B271" s="34"/>
      <c r="C271" s="26" t="s">
        <v>165</v>
      </c>
      <c r="D271" s="35"/>
      <c r="E271" s="234" t="s">
        <v>166</v>
      </c>
      <c r="F271" s="234"/>
      <c r="G271" s="29"/>
      <c r="H271" s="46">
        <f>H272+H273</f>
        <v>200000</v>
      </c>
      <c r="I271" s="46">
        <f>I272+I273</f>
        <v>200000</v>
      </c>
    </row>
    <row r="272" spans="1:9" ht="15.75" customHeight="1">
      <c r="A272" s="103" t="s">
        <v>647</v>
      </c>
      <c r="B272" s="28"/>
      <c r="C272" s="29"/>
      <c r="D272" s="29" t="s">
        <v>167</v>
      </c>
      <c r="E272" s="225" t="s">
        <v>168</v>
      </c>
      <c r="F272" s="225"/>
      <c r="G272" s="29"/>
      <c r="H272" s="44">
        <v>100000</v>
      </c>
      <c r="I272" s="44">
        <v>100000</v>
      </c>
    </row>
    <row r="273" spans="1:9" ht="15.75" customHeight="1">
      <c r="A273" s="103" t="s">
        <v>648</v>
      </c>
      <c r="B273" s="28"/>
      <c r="C273" s="29"/>
      <c r="D273" s="29" t="s">
        <v>170</v>
      </c>
      <c r="E273" s="225" t="s">
        <v>171</v>
      </c>
      <c r="F273" s="225"/>
      <c r="G273" s="29"/>
      <c r="H273" s="44">
        <v>100000</v>
      </c>
      <c r="I273" s="44">
        <v>100000</v>
      </c>
    </row>
    <row r="274" spans="1:9" ht="15.75" customHeight="1">
      <c r="A274" s="103" t="s">
        <v>649</v>
      </c>
      <c r="B274" s="34"/>
      <c r="C274" s="26" t="s">
        <v>173</v>
      </c>
      <c r="D274" s="35"/>
      <c r="E274" s="234" t="s">
        <v>174</v>
      </c>
      <c r="F274" s="234"/>
      <c r="G274" s="29"/>
      <c r="H274" s="46">
        <f>H275+H276</f>
        <v>330000</v>
      </c>
      <c r="I274" s="46">
        <f>I275+I276</f>
        <v>330000</v>
      </c>
    </row>
    <row r="275" spans="1:9" ht="15.75" customHeight="1">
      <c r="A275" s="103" t="s">
        <v>650</v>
      </c>
      <c r="B275" s="28"/>
      <c r="C275" s="29"/>
      <c r="D275" s="29" t="s">
        <v>175</v>
      </c>
      <c r="E275" s="225" t="s">
        <v>176</v>
      </c>
      <c r="F275" s="225"/>
      <c r="G275" s="29"/>
      <c r="H275" s="44">
        <v>30000</v>
      </c>
      <c r="I275" s="44">
        <v>30000</v>
      </c>
    </row>
    <row r="276" spans="1:9" ht="15.75" customHeight="1">
      <c r="A276" s="103" t="s">
        <v>651</v>
      </c>
      <c r="B276" s="28"/>
      <c r="C276" s="29"/>
      <c r="D276" s="29" t="s">
        <v>177</v>
      </c>
      <c r="E276" s="225" t="s">
        <v>178</v>
      </c>
      <c r="F276" s="225"/>
      <c r="G276" s="29"/>
      <c r="H276" s="44">
        <v>300000</v>
      </c>
      <c r="I276" s="44">
        <v>300000</v>
      </c>
    </row>
    <row r="277" spans="1:9" ht="15.75" customHeight="1">
      <c r="A277" s="103" t="s">
        <v>652</v>
      </c>
      <c r="B277" s="34"/>
      <c r="C277" s="26" t="s">
        <v>179</v>
      </c>
      <c r="D277" s="35"/>
      <c r="E277" s="234" t="s">
        <v>180</v>
      </c>
      <c r="F277" s="234"/>
      <c r="G277" s="29"/>
      <c r="H277" s="46">
        <f>H278+H279+H280</f>
        <v>890000</v>
      </c>
      <c r="I277" s="46">
        <f>I278+I279+I280</f>
        <v>890000</v>
      </c>
    </row>
    <row r="278" spans="1:9" ht="15.75" customHeight="1">
      <c r="A278" s="103" t="s">
        <v>653</v>
      </c>
      <c r="B278" s="28"/>
      <c r="C278" s="29"/>
      <c r="D278" s="29" t="s">
        <v>181</v>
      </c>
      <c r="E278" s="225" t="s">
        <v>182</v>
      </c>
      <c r="F278" s="225"/>
      <c r="G278" s="29"/>
      <c r="H278" s="44">
        <v>300000</v>
      </c>
      <c r="I278" s="44">
        <v>300000</v>
      </c>
    </row>
    <row r="279" spans="1:9" ht="15.75" customHeight="1">
      <c r="A279" s="103" t="s">
        <v>654</v>
      </c>
      <c r="B279" s="28"/>
      <c r="C279" s="29"/>
      <c r="D279" s="29" t="s">
        <v>185</v>
      </c>
      <c r="E279" s="225" t="s">
        <v>186</v>
      </c>
      <c r="F279" s="225"/>
      <c r="G279" s="29"/>
      <c r="H279" s="44">
        <v>50000</v>
      </c>
      <c r="I279" s="44">
        <v>50000</v>
      </c>
    </row>
    <row r="280" spans="1:9" ht="15.75" customHeight="1">
      <c r="A280" s="103" t="s">
        <v>655</v>
      </c>
      <c r="B280" s="28"/>
      <c r="C280" s="29"/>
      <c r="D280" s="29" t="s">
        <v>187</v>
      </c>
      <c r="E280" s="225" t="s">
        <v>188</v>
      </c>
      <c r="F280" s="225"/>
      <c r="G280" s="29"/>
      <c r="H280" s="44">
        <v>540000</v>
      </c>
      <c r="I280" s="44">
        <v>540000</v>
      </c>
    </row>
    <row r="281" spans="1:9" ht="15.75" customHeight="1">
      <c r="A281" s="103" t="s">
        <v>656</v>
      </c>
      <c r="B281" s="34"/>
      <c r="C281" s="26" t="s">
        <v>189</v>
      </c>
      <c r="D281" s="35"/>
      <c r="E281" s="234" t="s">
        <v>190</v>
      </c>
      <c r="F281" s="234"/>
      <c r="G281" s="29"/>
      <c r="H281" s="46">
        <f>H282</f>
        <v>0</v>
      </c>
      <c r="I281" s="46">
        <f>I282</f>
        <v>0</v>
      </c>
    </row>
    <row r="282" spans="1:9" ht="15.75" customHeight="1">
      <c r="A282" s="103" t="s">
        <v>657</v>
      </c>
      <c r="B282" s="28"/>
      <c r="C282" s="29"/>
      <c r="D282" s="29" t="s">
        <v>191</v>
      </c>
      <c r="E282" s="225" t="s">
        <v>192</v>
      </c>
      <c r="F282" s="225"/>
      <c r="G282" s="29"/>
      <c r="H282" s="44">
        <v>0</v>
      </c>
      <c r="I282" s="44">
        <v>0</v>
      </c>
    </row>
    <row r="283" spans="1:9" ht="15.75" customHeight="1">
      <c r="A283" s="103" t="s">
        <v>658</v>
      </c>
      <c r="B283" s="34"/>
      <c r="C283" s="26" t="s">
        <v>193</v>
      </c>
      <c r="D283" s="35"/>
      <c r="E283" s="234" t="s">
        <v>194</v>
      </c>
      <c r="F283" s="234"/>
      <c r="G283" s="29"/>
      <c r="H283" s="46">
        <f>H284+H285</f>
        <v>301000</v>
      </c>
      <c r="I283" s="46">
        <f>I284+I285</f>
        <v>301000</v>
      </c>
    </row>
    <row r="284" spans="1:9" ht="15.75" customHeight="1">
      <c r="A284" s="103" t="s">
        <v>659</v>
      </c>
      <c r="B284" s="28"/>
      <c r="C284" s="29"/>
      <c r="D284" s="29" t="s">
        <v>195</v>
      </c>
      <c r="E284" s="225" t="s">
        <v>196</v>
      </c>
      <c r="F284" s="225"/>
      <c r="G284" s="29"/>
      <c r="H284" s="44">
        <v>300000</v>
      </c>
      <c r="I284" s="44">
        <v>300000</v>
      </c>
    </row>
    <row r="285" spans="1:9" ht="15.75" customHeight="1">
      <c r="A285" s="103" t="s">
        <v>660</v>
      </c>
      <c r="B285" s="28"/>
      <c r="C285" s="29"/>
      <c r="D285" s="29" t="s">
        <v>327</v>
      </c>
      <c r="E285" s="225" t="s">
        <v>328</v>
      </c>
      <c r="F285" s="225"/>
      <c r="G285" s="29"/>
      <c r="H285" s="44">
        <v>1000</v>
      </c>
      <c r="I285" s="44">
        <v>1000</v>
      </c>
    </row>
    <row r="286" spans="1:9" ht="15.75" customHeight="1">
      <c r="A286" s="103" t="s">
        <v>661</v>
      </c>
      <c r="B286" s="28"/>
      <c r="C286" s="29"/>
      <c r="D286" s="29"/>
      <c r="E286" s="29"/>
      <c r="F286" s="29"/>
      <c r="G286" s="29"/>
      <c r="H286" s="44"/>
      <c r="I286" s="44"/>
    </row>
    <row r="287" spans="1:9" ht="15.75" customHeight="1">
      <c r="A287" s="103" t="s">
        <v>662</v>
      </c>
      <c r="B287" s="192" t="s">
        <v>243</v>
      </c>
      <c r="C287" s="192"/>
      <c r="D287" s="192"/>
      <c r="E287" s="192"/>
      <c r="F287" s="192"/>
      <c r="G287" s="41"/>
      <c r="H287" s="43">
        <f>SUM(H288)</f>
        <v>590000</v>
      </c>
      <c r="I287" s="43">
        <f>SUM(I288)</f>
        <v>590000</v>
      </c>
    </row>
    <row r="288" spans="1:9" ht="15.75" customHeight="1">
      <c r="A288" s="103" t="s">
        <v>663</v>
      </c>
      <c r="B288" s="25" t="s">
        <v>27</v>
      </c>
      <c r="C288" s="26"/>
      <c r="D288" s="234" t="s">
        <v>28</v>
      </c>
      <c r="E288" s="234"/>
      <c r="F288" s="234"/>
      <c r="G288" s="26"/>
      <c r="H288" s="46">
        <f>H289+H291+H295</f>
        <v>590000</v>
      </c>
      <c r="I288" s="46">
        <f>I289+I291+I295</f>
        <v>590000</v>
      </c>
    </row>
    <row r="289" spans="1:9" ht="15.75" customHeight="1">
      <c r="A289" s="103" t="s">
        <v>664</v>
      </c>
      <c r="B289" s="34"/>
      <c r="C289" s="26" t="s">
        <v>165</v>
      </c>
      <c r="D289" s="35"/>
      <c r="E289" s="234" t="s">
        <v>166</v>
      </c>
      <c r="F289" s="234"/>
      <c r="G289" s="26"/>
      <c r="H289" s="44">
        <f>H290</f>
        <v>40000</v>
      </c>
      <c r="I289" s="44">
        <f>I290</f>
        <v>40000</v>
      </c>
    </row>
    <row r="290" spans="1:9" ht="15.75" customHeight="1">
      <c r="A290" s="103" t="s">
        <v>665</v>
      </c>
      <c r="B290" s="28"/>
      <c r="C290" s="29"/>
      <c r="D290" s="29" t="s">
        <v>170</v>
      </c>
      <c r="E290" s="225" t="s">
        <v>171</v>
      </c>
      <c r="F290" s="225"/>
      <c r="G290" s="29"/>
      <c r="H290" s="44">
        <v>40000</v>
      </c>
      <c r="I290" s="44">
        <v>40000</v>
      </c>
    </row>
    <row r="291" spans="1:9" ht="15.75" customHeight="1">
      <c r="A291" s="103" t="s">
        <v>666</v>
      </c>
      <c r="B291" s="34"/>
      <c r="C291" s="26" t="s">
        <v>179</v>
      </c>
      <c r="D291" s="35"/>
      <c r="E291" s="234" t="s">
        <v>180</v>
      </c>
      <c r="F291" s="234"/>
      <c r="G291" s="29"/>
      <c r="H291" s="46">
        <f>H292+H293+H294</f>
        <v>450000</v>
      </c>
      <c r="I291" s="46">
        <f>I292+I293+I294</f>
        <v>450000</v>
      </c>
    </row>
    <row r="292" spans="1:9" ht="15.75" customHeight="1">
      <c r="A292" s="103" t="s">
        <v>667</v>
      </c>
      <c r="B292" s="28"/>
      <c r="C292" s="29"/>
      <c r="D292" s="29" t="s">
        <v>181</v>
      </c>
      <c r="E292" s="225" t="s">
        <v>182</v>
      </c>
      <c r="F292" s="225"/>
      <c r="G292" s="29"/>
      <c r="H292" s="44">
        <v>300000</v>
      </c>
      <c r="I292" s="44">
        <v>300000</v>
      </c>
    </row>
    <row r="293" spans="1:9" ht="15.75" customHeight="1">
      <c r="A293" s="103" t="s">
        <v>668</v>
      </c>
      <c r="B293" s="28"/>
      <c r="C293" s="29"/>
      <c r="D293" s="29" t="s">
        <v>185</v>
      </c>
      <c r="E293" s="225" t="s">
        <v>186</v>
      </c>
      <c r="F293" s="225"/>
      <c r="G293" s="29"/>
      <c r="H293" s="44">
        <v>100000</v>
      </c>
      <c r="I293" s="44">
        <v>100000</v>
      </c>
    </row>
    <row r="294" spans="1:9" ht="15.75" customHeight="1">
      <c r="A294" s="103" t="s">
        <v>669</v>
      </c>
      <c r="B294" s="28"/>
      <c r="C294" s="29"/>
      <c r="D294" s="29" t="s">
        <v>187</v>
      </c>
      <c r="E294" s="225" t="s">
        <v>188</v>
      </c>
      <c r="F294" s="225"/>
      <c r="G294" s="29"/>
      <c r="H294" s="44">
        <v>50000</v>
      </c>
      <c r="I294" s="44">
        <v>50000</v>
      </c>
    </row>
    <row r="295" spans="1:9" ht="15.75" customHeight="1">
      <c r="A295" s="103" t="s">
        <v>670</v>
      </c>
      <c r="B295" s="34"/>
      <c r="C295" s="26" t="s">
        <v>193</v>
      </c>
      <c r="D295" s="35"/>
      <c r="E295" s="234" t="s">
        <v>194</v>
      </c>
      <c r="F295" s="234"/>
      <c r="G295" s="29"/>
      <c r="H295" s="46">
        <f>H296</f>
        <v>100000</v>
      </c>
      <c r="I295" s="46">
        <f>I296</f>
        <v>100000</v>
      </c>
    </row>
    <row r="296" spans="1:9" ht="15.75" customHeight="1">
      <c r="A296" s="103" t="s">
        <v>671</v>
      </c>
      <c r="B296" s="28"/>
      <c r="C296" s="29"/>
      <c r="D296" s="29" t="s">
        <v>195</v>
      </c>
      <c r="E296" s="225" t="s">
        <v>196</v>
      </c>
      <c r="F296" s="225"/>
      <c r="G296" s="29"/>
      <c r="H296" s="44">
        <v>100000</v>
      </c>
      <c r="I296" s="44">
        <v>100000</v>
      </c>
    </row>
    <row r="297" spans="1:9" ht="15.75" customHeight="1">
      <c r="A297" s="103" t="s">
        <v>672</v>
      </c>
      <c r="B297" s="28"/>
      <c r="C297" s="29"/>
      <c r="D297" s="29"/>
      <c r="E297" s="29"/>
      <c r="F297" s="29"/>
      <c r="G297" s="29"/>
      <c r="H297" s="44"/>
      <c r="I297" s="44"/>
    </row>
    <row r="298" spans="1:9" ht="15.75" customHeight="1">
      <c r="A298" s="103" t="s">
        <v>673</v>
      </c>
      <c r="B298" s="192" t="s">
        <v>244</v>
      </c>
      <c r="C298" s="192"/>
      <c r="D298" s="192"/>
      <c r="E298" s="192"/>
      <c r="F298" s="192"/>
      <c r="G298" s="41"/>
      <c r="H298" s="43">
        <f>SUM(H299)</f>
        <v>500000</v>
      </c>
      <c r="I298" s="43">
        <f>SUM(I299)</f>
        <v>1000000</v>
      </c>
    </row>
    <row r="299" spans="1:9" ht="15.75" customHeight="1">
      <c r="A299" s="103" t="s">
        <v>674</v>
      </c>
      <c r="B299" s="25" t="s">
        <v>31</v>
      </c>
      <c r="C299" s="26"/>
      <c r="D299" s="234" t="s">
        <v>32</v>
      </c>
      <c r="E299" s="234"/>
      <c r="F299" s="234"/>
      <c r="G299" s="29"/>
      <c r="H299" s="44">
        <f>H300</f>
        <v>500000</v>
      </c>
      <c r="I299" s="44">
        <f>I300</f>
        <v>1000000</v>
      </c>
    </row>
    <row r="300" spans="1:9" ht="15.75" customHeight="1">
      <c r="A300" s="103" t="s">
        <v>675</v>
      </c>
      <c r="B300" s="28"/>
      <c r="C300" s="29"/>
      <c r="D300" s="29" t="s">
        <v>198</v>
      </c>
      <c r="E300" s="225" t="s">
        <v>199</v>
      </c>
      <c r="F300" s="225"/>
      <c r="G300" s="29"/>
      <c r="H300" s="45">
        <v>500000</v>
      </c>
      <c r="I300" s="45">
        <v>1000000</v>
      </c>
    </row>
    <row r="301" spans="1:9" ht="15.75" customHeight="1">
      <c r="A301" s="103" t="s">
        <v>676</v>
      </c>
      <c r="B301" s="28"/>
      <c r="C301" s="29"/>
      <c r="D301" s="29"/>
      <c r="E301" s="29"/>
      <c r="F301" s="29"/>
      <c r="G301" s="29"/>
      <c r="H301" s="45"/>
      <c r="I301" s="45"/>
    </row>
    <row r="302" spans="1:9" ht="15.75" customHeight="1">
      <c r="A302" s="103" t="s">
        <v>677</v>
      </c>
      <c r="B302" s="192" t="s">
        <v>110</v>
      </c>
      <c r="C302" s="192"/>
      <c r="D302" s="192"/>
      <c r="E302" s="192"/>
      <c r="F302" s="192"/>
      <c r="G302" s="48">
        <v>5</v>
      </c>
      <c r="H302" s="43">
        <f>H303+H313+H316</f>
        <v>58938030</v>
      </c>
      <c r="I302" s="43">
        <f>I303+I313+I316+I331</f>
        <v>173012689</v>
      </c>
    </row>
    <row r="303" spans="1:9" ht="15.75" customHeight="1">
      <c r="A303" s="103" t="s">
        <v>678</v>
      </c>
      <c r="B303" s="25" t="s">
        <v>23</v>
      </c>
      <c r="C303" s="26"/>
      <c r="D303" s="234" t="s">
        <v>146</v>
      </c>
      <c r="E303" s="234"/>
      <c r="F303" s="234"/>
      <c r="G303" s="29"/>
      <c r="H303" s="46">
        <f>H304+H311</f>
        <v>15431000</v>
      </c>
      <c r="I303" s="46">
        <f>I304+I311</f>
        <v>15431000</v>
      </c>
    </row>
    <row r="304" spans="1:9" ht="15.75" customHeight="1">
      <c r="A304" s="103" t="s">
        <v>679</v>
      </c>
      <c r="B304" s="28"/>
      <c r="C304" s="26" t="s">
        <v>147</v>
      </c>
      <c r="D304" s="26"/>
      <c r="E304" s="234" t="s">
        <v>148</v>
      </c>
      <c r="F304" s="234"/>
      <c r="G304" s="29"/>
      <c r="H304" s="46">
        <f>SUM(H305:H310)</f>
        <v>11471000</v>
      </c>
      <c r="I304" s="46">
        <f>SUM(I305:I310)</f>
        <v>11471000</v>
      </c>
    </row>
    <row r="305" spans="1:9" ht="15.75" customHeight="1">
      <c r="A305" s="103" t="s">
        <v>680</v>
      </c>
      <c r="B305" s="21"/>
      <c r="C305" s="29"/>
      <c r="D305" s="29" t="s">
        <v>149</v>
      </c>
      <c r="E305" s="225" t="s">
        <v>150</v>
      </c>
      <c r="F305" s="225"/>
      <c r="G305" s="29"/>
      <c r="H305" s="44">
        <v>9500000</v>
      </c>
      <c r="I305" s="44">
        <v>9500000</v>
      </c>
    </row>
    <row r="306" spans="1:9" ht="15.75" customHeight="1">
      <c r="A306" s="103" t="s">
        <v>681</v>
      </c>
      <c r="B306" s="21"/>
      <c r="C306" s="29"/>
      <c r="D306" s="29" t="s">
        <v>299</v>
      </c>
      <c r="E306" s="225" t="s">
        <v>302</v>
      </c>
      <c r="F306" s="225"/>
      <c r="G306" s="29"/>
      <c r="H306" s="44">
        <v>390000</v>
      </c>
      <c r="I306" s="44">
        <v>390000</v>
      </c>
    </row>
    <row r="307" spans="1:9" ht="15.75" customHeight="1">
      <c r="A307" s="103" t="s">
        <v>682</v>
      </c>
      <c r="B307" s="21"/>
      <c r="C307" s="29"/>
      <c r="D307" s="29" t="s">
        <v>221</v>
      </c>
      <c r="E307" s="225" t="s">
        <v>222</v>
      </c>
      <c r="F307" s="225"/>
      <c r="G307" s="29"/>
      <c r="H307" s="44">
        <v>350000</v>
      </c>
      <c r="I307" s="44">
        <v>350000</v>
      </c>
    </row>
    <row r="308" spans="1:9" ht="15.75" customHeight="1">
      <c r="A308" s="103" t="s">
        <v>683</v>
      </c>
      <c r="B308" s="28"/>
      <c r="C308" s="29"/>
      <c r="D308" s="29" t="s">
        <v>151</v>
      </c>
      <c r="E308" s="225" t="s">
        <v>152</v>
      </c>
      <c r="F308" s="225"/>
      <c r="G308" s="29"/>
      <c r="H308" s="44">
        <v>781000</v>
      </c>
      <c r="I308" s="44">
        <v>781000</v>
      </c>
    </row>
    <row r="309" spans="1:9" ht="15.75" customHeight="1">
      <c r="A309" s="103" t="s">
        <v>684</v>
      </c>
      <c r="B309" s="28"/>
      <c r="C309" s="29"/>
      <c r="D309" s="29" t="s">
        <v>234</v>
      </c>
      <c r="E309" s="225" t="s">
        <v>235</v>
      </c>
      <c r="F309" s="225"/>
      <c r="G309" s="29"/>
      <c r="H309" s="44">
        <v>50000</v>
      </c>
      <c r="I309" s="44">
        <v>50000</v>
      </c>
    </row>
    <row r="310" spans="1:9" ht="15.75" customHeight="1">
      <c r="A310" s="103" t="s">
        <v>685</v>
      </c>
      <c r="B310" s="28"/>
      <c r="C310" s="29"/>
      <c r="D310" s="28" t="s">
        <v>210</v>
      </c>
      <c r="E310" s="225" t="s">
        <v>319</v>
      </c>
      <c r="F310" s="225"/>
      <c r="G310" s="29"/>
      <c r="H310" s="44">
        <v>400000</v>
      </c>
      <c r="I310" s="44">
        <v>400000</v>
      </c>
    </row>
    <row r="311" spans="1:9" ht="15.75" customHeight="1">
      <c r="A311" s="103" t="s">
        <v>686</v>
      </c>
      <c r="B311" s="28"/>
      <c r="C311" s="26" t="s">
        <v>153</v>
      </c>
      <c r="D311" s="25"/>
      <c r="E311" s="234" t="s">
        <v>241</v>
      </c>
      <c r="F311" s="234"/>
      <c r="G311" s="29"/>
      <c r="H311" s="46">
        <f>SUM(H312:H312)</f>
        <v>3960000</v>
      </c>
      <c r="I311" s="46">
        <f>SUM(I312:I312)</f>
        <v>3960000</v>
      </c>
    </row>
    <row r="312" spans="1:9" ht="15.75" customHeight="1">
      <c r="A312" s="103" t="s">
        <v>687</v>
      </c>
      <c r="B312" s="28"/>
      <c r="C312" s="29"/>
      <c r="D312" s="28" t="s">
        <v>236</v>
      </c>
      <c r="E312" s="225" t="s">
        <v>242</v>
      </c>
      <c r="F312" s="225"/>
      <c r="G312" s="29"/>
      <c r="H312" s="44">
        <v>3960000</v>
      </c>
      <c r="I312" s="44">
        <v>3960000</v>
      </c>
    </row>
    <row r="313" spans="1:9" ht="15.75" customHeight="1">
      <c r="A313" s="103" t="s">
        <v>688</v>
      </c>
      <c r="B313" s="25" t="s">
        <v>25</v>
      </c>
      <c r="C313" s="26"/>
      <c r="D313" s="234" t="s">
        <v>162</v>
      </c>
      <c r="E313" s="234"/>
      <c r="F313" s="234"/>
      <c r="G313" s="29"/>
      <c r="H313" s="46">
        <f>SUM(H314:H315)</f>
        <v>2007030</v>
      </c>
      <c r="I313" s="46">
        <f>SUM(I314:I315)</f>
        <v>2007030</v>
      </c>
    </row>
    <row r="314" spans="1:9" ht="15.75" customHeight="1">
      <c r="A314" s="103" t="s">
        <v>689</v>
      </c>
      <c r="B314" s="28"/>
      <c r="C314" s="29"/>
      <c r="D314" s="29"/>
      <c r="E314" s="237" t="s">
        <v>163</v>
      </c>
      <c r="F314" s="237"/>
      <c r="G314" s="29"/>
      <c r="H314" s="44">
        <f>(H305+H306+H307+H308+H310+H311)*0.13</f>
        <v>1999530</v>
      </c>
      <c r="I314" s="44">
        <f>(I305+I306+I307+I308+I310+I311)*0.13</f>
        <v>1999530</v>
      </c>
    </row>
    <row r="315" spans="1:9" ht="15.75" customHeight="1">
      <c r="A315" s="103" t="s">
        <v>690</v>
      </c>
      <c r="B315" s="28"/>
      <c r="C315" s="29"/>
      <c r="D315" s="29"/>
      <c r="E315" s="31" t="s">
        <v>164</v>
      </c>
      <c r="F315" s="29"/>
      <c r="G315" s="29"/>
      <c r="H315" s="44">
        <f>H309*0.15</f>
        <v>7500</v>
      </c>
      <c r="I315" s="44">
        <f>I309*0.15</f>
        <v>7500</v>
      </c>
    </row>
    <row r="316" spans="1:9" ht="15.75" customHeight="1">
      <c r="A316" s="103" t="s">
        <v>691</v>
      </c>
      <c r="B316" s="25" t="s">
        <v>27</v>
      </c>
      <c r="C316" s="26"/>
      <c r="D316" s="234" t="s">
        <v>28</v>
      </c>
      <c r="E316" s="234"/>
      <c r="F316" s="234"/>
      <c r="G316" s="29"/>
      <c r="H316" s="46">
        <f>H317+H320+H323+H328</f>
        <v>41500000</v>
      </c>
      <c r="I316" s="46">
        <f>I317+I320+I323+I328</f>
        <v>42820500</v>
      </c>
    </row>
    <row r="317" spans="1:9" ht="15.75" customHeight="1">
      <c r="A317" s="103" t="s">
        <v>692</v>
      </c>
      <c r="B317" s="34"/>
      <c r="C317" s="26" t="s">
        <v>165</v>
      </c>
      <c r="D317" s="31"/>
      <c r="E317" s="234" t="s">
        <v>166</v>
      </c>
      <c r="F317" s="234"/>
      <c r="G317" s="29"/>
      <c r="H317" s="46">
        <f>H318+H319</f>
        <v>9150000</v>
      </c>
      <c r="I317" s="46">
        <f>I318+I319</f>
        <v>9600000</v>
      </c>
    </row>
    <row r="318" spans="1:9" ht="15.75" customHeight="1">
      <c r="A318" s="103" t="s">
        <v>693</v>
      </c>
      <c r="B318" s="28"/>
      <c r="C318" s="29"/>
      <c r="D318" s="29" t="s">
        <v>167</v>
      </c>
      <c r="E318" s="225" t="s">
        <v>168</v>
      </c>
      <c r="F318" s="225"/>
      <c r="G318" s="29"/>
      <c r="H318" s="44">
        <v>150000</v>
      </c>
      <c r="I318" s="44">
        <v>150000</v>
      </c>
    </row>
    <row r="319" spans="1:9" ht="15.75" customHeight="1">
      <c r="A319" s="103" t="s">
        <v>694</v>
      </c>
      <c r="B319" s="28"/>
      <c r="C319" s="29"/>
      <c r="D319" s="29" t="s">
        <v>170</v>
      </c>
      <c r="E319" s="225" t="s">
        <v>171</v>
      </c>
      <c r="F319" s="225"/>
      <c r="G319" s="29"/>
      <c r="H319" s="44">
        <v>9000000</v>
      </c>
      <c r="I319" s="44">
        <f>9000000+300000+150000</f>
        <v>9450000</v>
      </c>
    </row>
    <row r="320" spans="1:9" ht="15.75" customHeight="1">
      <c r="A320" s="103" t="s">
        <v>695</v>
      </c>
      <c r="B320" s="34"/>
      <c r="C320" s="26" t="s">
        <v>173</v>
      </c>
      <c r="D320" s="31"/>
      <c r="E320" s="234" t="s">
        <v>174</v>
      </c>
      <c r="F320" s="234"/>
      <c r="G320" s="29"/>
      <c r="H320" s="46">
        <f>H321+H322</f>
        <v>250000</v>
      </c>
      <c r="I320" s="46">
        <f>I321+I322</f>
        <v>250000</v>
      </c>
    </row>
    <row r="321" spans="1:9" ht="15.75" customHeight="1">
      <c r="A321" s="103" t="s">
        <v>696</v>
      </c>
      <c r="B321" s="28"/>
      <c r="C321" s="29"/>
      <c r="D321" s="29" t="s">
        <v>175</v>
      </c>
      <c r="E321" s="225" t="s">
        <v>176</v>
      </c>
      <c r="F321" s="225"/>
      <c r="G321" s="29"/>
      <c r="H321" s="44">
        <v>150000</v>
      </c>
      <c r="I321" s="44">
        <v>150000</v>
      </c>
    </row>
    <row r="322" spans="1:9" ht="15.75" customHeight="1">
      <c r="A322" s="103" t="s">
        <v>697</v>
      </c>
      <c r="B322" s="28"/>
      <c r="C322" s="29"/>
      <c r="D322" s="29" t="s">
        <v>177</v>
      </c>
      <c r="E322" s="225" t="s">
        <v>178</v>
      </c>
      <c r="F322" s="225"/>
      <c r="G322" s="29"/>
      <c r="H322" s="44">
        <v>100000</v>
      </c>
      <c r="I322" s="44">
        <v>100000</v>
      </c>
    </row>
    <row r="323" spans="1:9" ht="15.75" customHeight="1">
      <c r="A323" s="103" t="s">
        <v>698</v>
      </c>
      <c r="B323" s="34"/>
      <c r="C323" s="26" t="s">
        <v>179</v>
      </c>
      <c r="D323" s="31"/>
      <c r="E323" s="234" t="s">
        <v>180</v>
      </c>
      <c r="F323" s="234"/>
      <c r="G323" s="29"/>
      <c r="H323" s="46">
        <f>H324+H326+H327+H325</f>
        <v>21100000</v>
      </c>
      <c r="I323" s="46">
        <f>I324+I326+I327+I325</f>
        <v>21849000</v>
      </c>
    </row>
    <row r="324" spans="1:9" ht="15.75" customHeight="1">
      <c r="A324" s="103" t="s">
        <v>699</v>
      </c>
      <c r="B324" s="28"/>
      <c r="C324" s="29"/>
      <c r="D324" s="29" t="s">
        <v>181</v>
      </c>
      <c r="E324" s="225" t="s">
        <v>182</v>
      </c>
      <c r="F324" s="225"/>
      <c r="G324" s="29"/>
      <c r="H324" s="44">
        <v>5000000</v>
      </c>
      <c r="I324" s="44">
        <v>5000000</v>
      </c>
    </row>
    <row r="325" spans="1:9" ht="15.75" customHeight="1">
      <c r="A325" s="103" t="s">
        <v>700</v>
      </c>
      <c r="B325" s="28"/>
      <c r="C325" s="29"/>
      <c r="D325" s="29" t="s">
        <v>183</v>
      </c>
      <c r="E325" s="225" t="s">
        <v>184</v>
      </c>
      <c r="F325" s="225"/>
      <c r="G325" s="29"/>
      <c r="H325" s="44">
        <v>100000</v>
      </c>
      <c r="I325" s="44">
        <v>100000</v>
      </c>
    </row>
    <row r="326" spans="1:9" ht="15.75" customHeight="1">
      <c r="A326" s="103" t="s">
        <v>701</v>
      </c>
      <c r="B326" s="28"/>
      <c r="C326" s="29"/>
      <c r="D326" s="29" t="s">
        <v>185</v>
      </c>
      <c r="E326" s="225" t="s">
        <v>186</v>
      </c>
      <c r="F326" s="225"/>
      <c r="G326" s="29"/>
      <c r="H326" s="44">
        <v>6000000</v>
      </c>
      <c r="I326" s="44">
        <v>6000000</v>
      </c>
    </row>
    <row r="327" spans="1:9" ht="15.75" customHeight="1">
      <c r="A327" s="103" t="s">
        <v>702</v>
      </c>
      <c r="B327" s="28"/>
      <c r="C327" s="29"/>
      <c r="D327" s="29" t="s">
        <v>187</v>
      </c>
      <c r="E327" s="225" t="s">
        <v>188</v>
      </c>
      <c r="F327" s="225"/>
      <c r="G327" s="29"/>
      <c r="H327" s="44">
        <v>10000000</v>
      </c>
      <c r="I327" s="44">
        <f>10000000+749000</f>
        <v>10749000</v>
      </c>
    </row>
    <row r="328" spans="1:9" ht="15.75" customHeight="1">
      <c r="A328" s="103" t="s">
        <v>703</v>
      </c>
      <c r="B328" s="34"/>
      <c r="C328" s="26" t="s">
        <v>193</v>
      </c>
      <c r="D328" s="35"/>
      <c r="E328" s="234" t="s">
        <v>194</v>
      </c>
      <c r="F328" s="234"/>
      <c r="G328" s="29"/>
      <c r="H328" s="46">
        <f>SUM(H329:H330)</f>
        <v>11000000</v>
      </c>
      <c r="I328" s="46">
        <f>SUM(I329:I330)</f>
        <v>11121500</v>
      </c>
    </row>
    <row r="329" spans="1:9" ht="15.75" customHeight="1">
      <c r="A329" s="103" t="s">
        <v>704</v>
      </c>
      <c r="B329" s="28"/>
      <c r="C329" s="29"/>
      <c r="D329" s="29" t="s">
        <v>195</v>
      </c>
      <c r="E329" s="225" t="s">
        <v>196</v>
      </c>
      <c r="F329" s="225"/>
      <c r="G329" s="29"/>
      <c r="H329" s="44">
        <v>7000000</v>
      </c>
      <c r="I329" s="44">
        <f>7000000+81000+40500</f>
        <v>7121500</v>
      </c>
    </row>
    <row r="330" spans="1:9" ht="15.75" customHeight="1">
      <c r="A330" s="103" t="s">
        <v>705</v>
      </c>
      <c r="B330" s="28"/>
      <c r="C330" s="29"/>
      <c r="D330" s="29" t="s">
        <v>214</v>
      </c>
      <c r="E330" s="225" t="s">
        <v>215</v>
      </c>
      <c r="F330" s="225"/>
      <c r="G330" s="29"/>
      <c r="H330" s="44">
        <v>4000000</v>
      </c>
      <c r="I330" s="44">
        <v>4000000</v>
      </c>
    </row>
    <row r="331" spans="1:9" ht="15.75" customHeight="1">
      <c r="A331" s="103" t="s">
        <v>706</v>
      </c>
      <c r="B331" s="38" t="s">
        <v>34</v>
      </c>
      <c r="C331" s="29"/>
      <c r="D331" s="234" t="s">
        <v>35</v>
      </c>
      <c r="E331" s="234"/>
      <c r="F331" s="234"/>
      <c r="G331" s="29"/>
      <c r="H331" s="46">
        <f>SUM(H332:H334)</f>
        <v>0</v>
      </c>
      <c r="I331" s="46">
        <f>SUM(I332:I334)</f>
        <v>112754159</v>
      </c>
    </row>
    <row r="332" spans="1:9" ht="15.75" customHeight="1">
      <c r="A332" s="103" t="s">
        <v>707</v>
      </c>
      <c r="B332" s="38"/>
      <c r="C332" s="47" t="s">
        <v>819</v>
      </c>
      <c r="D332" s="21"/>
      <c r="E332" s="201" t="s">
        <v>821</v>
      </c>
      <c r="F332" s="201"/>
      <c r="G332" s="29"/>
      <c r="H332" s="44"/>
      <c r="I332" s="44">
        <f>2520000+27008000+5958178</f>
        <v>35486178</v>
      </c>
    </row>
    <row r="333" spans="1:9" ht="15.75" customHeight="1">
      <c r="A333" s="103" t="s">
        <v>708</v>
      </c>
      <c r="B333" s="38"/>
      <c r="C333" s="47" t="s">
        <v>305</v>
      </c>
      <c r="D333" s="21"/>
      <c r="E333" s="201" t="s">
        <v>822</v>
      </c>
      <c r="F333" s="201"/>
      <c r="G333" s="29"/>
      <c r="H333" s="44"/>
      <c r="I333" s="44">
        <f>70000+29822062+23404560</f>
        <v>53296622</v>
      </c>
    </row>
    <row r="334" spans="1:9" ht="15.75" customHeight="1">
      <c r="A334" s="103" t="s">
        <v>709</v>
      </c>
      <c r="B334" s="28"/>
      <c r="C334" s="47" t="s">
        <v>216</v>
      </c>
      <c r="D334" s="21"/>
      <c r="E334" s="201" t="s">
        <v>217</v>
      </c>
      <c r="F334" s="201"/>
      <c r="G334" s="29"/>
      <c r="H334" s="44"/>
      <c r="I334" s="44">
        <f>18900+9911878+429190+7292160+6319231</f>
        <v>23971359</v>
      </c>
    </row>
    <row r="335" spans="1:9" ht="15.75" customHeight="1">
      <c r="A335" s="103" t="s">
        <v>710</v>
      </c>
      <c r="B335" s="28"/>
      <c r="C335" s="47"/>
      <c r="D335" s="21"/>
      <c r="E335" s="94"/>
      <c r="F335" s="94"/>
      <c r="G335" s="29"/>
      <c r="H335" s="44"/>
      <c r="I335" s="44"/>
    </row>
    <row r="336" spans="1:9" ht="15.75" customHeight="1">
      <c r="A336" s="103" t="s">
        <v>711</v>
      </c>
      <c r="B336" s="192" t="s">
        <v>245</v>
      </c>
      <c r="C336" s="192"/>
      <c r="D336" s="192"/>
      <c r="E336" s="192"/>
      <c r="F336" s="192"/>
      <c r="G336" s="48"/>
      <c r="H336" s="43">
        <f>SUM(H337)</f>
        <v>530000</v>
      </c>
      <c r="I336" s="43">
        <f>SUM(I337)</f>
        <v>530000</v>
      </c>
    </row>
    <row r="337" spans="1:9" ht="15.75" customHeight="1">
      <c r="A337" s="103" t="s">
        <v>712</v>
      </c>
      <c r="B337" s="25" t="s">
        <v>27</v>
      </c>
      <c r="C337" s="26"/>
      <c r="D337" s="234" t="s">
        <v>28</v>
      </c>
      <c r="E337" s="234"/>
      <c r="F337" s="234"/>
      <c r="G337" s="29"/>
      <c r="H337" s="46">
        <f>H338+H341</f>
        <v>530000</v>
      </c>
      <c r="I337" s="46">
        <f>I338+I341</f>
        <v>530000</v>
      </c>
    </row>
    <row r="338" spans="1:9" ht="15.75" customHeight="1">
      <c r="A338" s="103" t="s">
        <v>713</v>
      </c>
      <c r="B338" s="34"/>
      <c r="C338" s="26" t="s">
        <v>165</v>
      </c>
      <c r="D338" s="35"/>
      <c r="E338" s="234" t="s">
        <v>166</v>
      </c>
      <c r="F338" s="234"/>
      <c r="G338" s="29"/>
      <c r="H338" s="46">
        <f>H339</f>
        <v>500000</v>
      </c>
      <c r="I338" s="46">
        <f>I339</f>
        <v>500000</v>
      </c>
    </row>
    <row r="339" spans="1:9" ht="15.75" customHeight="1">
      <c r="A339" s="103" t="s">
        <v>714</v>
      </c>
      <c r="B339" s="28"/>
      <c r="C339" s="29"/>
      <c r="D339" s="29" t="s">
        <v>167</v>
      </c>
      <c r="E339" s="225" t="s">
        <v>168</v>
      </c>
      <c r="F339" s="225"/>
      <c r="G339" s="29"/>
      <c r="H339" s="44">
        <f>H340</f>
        <v>500000</v>
      </c>
      <c r="I339" s="44">
        <f>I340</f>
        <v>500000</v>
      </c>
    </row>
    <row r="340" spans="1:9" ht="15.75" customHeight="1">
      <c r="A340" s="103" t="s">
        <v>715</v>
      </c>
      <c r="B340" s="28"/>
      <c r="C340" s="29"/>
      <c r="D340" s="29"/>
      <c r="E340" s="29"/>
      <c r="F340" s="34" t="s">
        <v>169</v>
      </c>
      <c r="G340" s="29"/>
      <c r="H340" s="44">
        <v>500000</v>
      </c>
      <c r="I340" s="44">
        <v>500000</v>
      </c>
    </row>
    <row r="341" spans="1:9" ht="15.75" customHeight="1">
      <c r="A341" s="103" t="s">
        <v>716</v>
      </c>
      <c r="B341" s="34"/>
      <c r="C341" s="26" t="s">
        <v>193</v>
      </c>
      <c r="D341" s="35"/>
      <c r="E341" s="234" t="s">
        <v>194</v>
      </c>
      <c r="F341" s="234"/>
      <c r="G341" s="29"/>
      <c r="H341" s="46">
        <f>H342</f>
        <v>30000</v>
      </c>
      <c r="I341" s="46">
        <f>I342</f>
        <v>30000</v>
      </c>
    </row>
    <row r="342" spans="1:9" ht="15.75" customHeight="1">
      <c r="A342" s="103" t="s">
        <v>717</v>
      </c>
      <c r="B342" s="28"/>
      <c r="C342" s="29"/>
      <c r="D342" s="29" t="s">
        <v>195</v>
      </c>
      <c r="E342" s="225" t="s">
        <v>196</v>
      </c>
      <c r="F342" s="225"/>
      <c r="G342" s="29"/>
      <c r="H342" s="44">
        <v>30000</v>
      </c>
      <c r="I342" s="44">
        <v>30000</v>
      </c>
    </row>
    <row r="343" spans="1:9" ht="15.75" customHeight="1">
      <c r="A343" s="103" t="s">
        <v>718</v>
      </c>
      <c r="B343" s="28"/>
      <c r="C343" s="29"/>
      <c r="D343" s="29"/>
      <c r="E343" s="29"/>
      <c r="F343" s="29"/>
      <c r="G343" s="29"/>
      <c r="H343" s="44"/>
      <c r="I343" s="44"/>
    </row>
    <row r="344" spans="1:9" ht="15.75" customHeight="1">
      <c r="A344" s="103" t="s">
        <v>719</v>
      </c>
      <c r="B344" s="192" t="s">
        <v>112</v>
      </c>
      <c r="C344" s="192"/>
      <c r="D344" s="192"/>
      <c r="E344" s="192"/>
      <c r="F344" s="192"/>
      <c r="G344" s="48">
        <v>1</v>
      </c>
      <c r="H344" s="43">
        <f>H345+H351+H354</f>
        <v>6482310</v>
      </c>
      <c r="I344" s="43">
        <f>I345+I351+I354</f>
        <v>6482310</v>
      </c>
    </row>
    <row r="345" spans="1:9" ht="15.75" customHeight="1">
      <c r="A345" s="103" t="s">
        <v>720</v>
      </c>
      <c r="B345" s="25" t="s">
        <v>23</v>
      </c>
      <c r="C345" s="26"/>
      <c r="D345" s="234" t="s">
        <v>146</v>
      </c>
      <c r="E345" s="234"/>
      <c r="F345" s="234"/>
      <c r="G345" s="29"/>
      <c r="H345" s="46">
        <f>SUM(H346)</f>
        <v>3791250</v>
      </c>
      <c r="I345" s="46">
        <f>SUM(I346)</f>
        <v>3791250</v>
      </c>
    </row>
    <row r="346" spans="1:9" ht="15.75" customHeight="1">
      <c r="A346" s="103" t="s">
        <v>721</v>
      </c>
      <c r="B346" s="28"/>
      <c r="C346" s="26" t="s">
        <v>147</v>
      </c>
      <c r="D346" s="26"/>
      <c r="E346" s="234" t="s">
        <v>148</v>
      </c>
      <c r="F346" s="234"/>
      <c r="G346" s="29"/>
      <c r="H346" s="46">
        <f>SUM(H347:H350)</f>
        <v>3791250</v>
      </c>
      <c r="I346" s="46">
        <f>SUM(I347:I350)</f>
        <v>3791250</v>
      </c>
    </row>
    <row r="347" spans="1:9" ht="15.75" customHeight="1">
      <c r="A347" s="103" t="s">
        <v>722</v>
      </c>
      <c r="B347" s="21"/>
      <c r="C347" s="29"/>
      <c r="D347" s="29" t="s">
        <v>149</v>
      </c>
      <c r="E347" s="225" t="s">
        <v>150</v>
      </c>
      <c r="F347" s="225"/>
      <c r="G347" s="29"/>
      <c r="H347" s="44">
        <v>3154000</v>
      </c>
      <c r="I347" s="44">
        <v>3154000</v>
      </c>
    </row>
    <row r="348" spans="1:9" ht="15.75" customHeight="1">
      <c r="A348" s="103" t="s">
        <v>723</v>
      </c>
      <c r="B348" s="21"/>
      <c r="C348" s="29"/>
      <c r="D348" s="29" t="s">
        <v>299</v>
      </c>
      <c r="E348" s="225" t="s">
        <v>308</v>
      </c>
      <c r="F348" s="225"/>
      <c r="G348" s="29"/>
      <c r="H348" s="44">
        <v>133000</v>
      </c>
      <c r="I348" s="44">
        <v>133000</v>
      </c>
    </row>
    <row r="349" spans="1:9" ht="15.75" customHeight="1">
      <c r="A349" s="103" t="s">
        <v>724</v>
      </c>
      <c r="B349" s="28"/>
      <c r="C349" s="29"/>
      <c r="D349" s="29" t="s">
        <v>151</v>
      </c>
      <c r="E349" s="225" t="s">
        <v>152</v>
      </c>
      <c r="F349" s="225"/>
      <c r="G349" s="29"/>
      <c r="H349" s="44">
        <v>156250</v>
      </c>
      <c r="I349" s="44">
        <v>156250</v>
      </c>
    </row>
    <row r="350" spans="1:9" ht="15.75" customHeight="1">
      <c r="A350" s="103" t="s">
        <v>725</v>
      </c>
      <c r="B350" s="28"/>
      <c r="C350" s="29"/>
      <c r="D350" s="29" t="s">
        <v>234</v>
      </c>
      <c r="E350" s="225" t="s">
        <v>235</v>
      </c>
      <c r="F350" s="225"/>
      <c r="G350" s="29"/>
      <c r="H350" s="44">
        <v>348000</v>
      </c>
      <c r="I350" s="44">
        <v>348000</v>
      </c>
    </row>
    <row r="351" spans="1:9" ht="15.75" customHeight="1">
      <c r="A351" s="103" t="s">
        <v>726</v>
      </c>
      <c r="B351" s="25" t="s">
        <v>25</v>
      </c>
      <c r="C351" s="26"/>
      <c r="D351" s="234" t="s">
        <v>162</v>
      </c>
      <c r="E351" s="234"/>
      <c r="F351" s="234"/>
      <c r="G351" s="29"/>
      <c r="H351" s="46">
        <f>SUM(H352:H353)</f>
        <v>471060</v>
      </c>
      <c r="I351" s="46">
        <f>SUM(I352:I353)</f>
        <v>471060</v>
      </c>
    </row>
    <row r="352" spans="1:9" ht="15.75" customHeight="1">
      <c r="A352" s="103" t="s">
        <v>727</v>
      </c>
      <c r="B352" s="28"/>
      <c r="C352" s="29"/>
      <c r="D352" s="29"/>
      <c r="E352" s="237" t="s">
        <v>163</v>
      </c>
      <c r="F352" s="237"/>
      <c r="G352" s="29"/>
      <c r="H352" s="44">
        <f>(H347+H348+H349)*0.13</f>
        <v>447622.5</v>
      </c>
      <c r="I352" s="44">
        <f>(I347+I348+I349)*0.13</f>
        <v>447622.5</v>
      </c>
    </row>
    <row r="353" spans="1:9" ht="15.75" customHeight="1">
      <c r="A353" s="103" t="s">
        <v>728</v>
      </c>
      <c r="B353" s="28"/>
      <c r="C353" s="29"/>
      <c r="D353" s="29"/>
      <c r="E353" s="237" t="s">
        <v>164</v>
      </c>
      <c r="F353" s="237"/>
      <c r="G353" s="29"/>
      <c r="H353" s="44">
        <f>H349*0.15</f>
        <v>23437.5</v>
      </c>
      <c r="I353" s="44">
        <f>I349*0.15</f>
        <v>23437.5</v>
      </c>
    </row>
    <row r="354" spans="1:9" ht="15.75" customHeight="1">
      <c r="A354" s="103" t="s">
        <v>729</v>
      </c>
      <c r="B354" s="25" t="s">
        <v>27</v>
      </c>
      <c r="C354" s="26"/>
      <c r="D354" s="234" t="s">
        <v>28</v>
      </c>
      <c r="E354" s="234"/>
      <c r="F354" s="234"/>
      <c r="G354" s="29"/>
      <c r="H354" s="46">
        <f>H355+H358+H361+H365</f>
        <v>2220000</v>
      </c>
      <c r="I354" s="46">
        <f>I355+I358+I361+I365</f>
        <v>2220000</v>
      </c>
    </row>
    <row r="355" spans="1:9" ht="15.75" customHeight="1">
      <c r="A355" s="103" t="s">
        <v>730</v>
      </c>
      <c r="B355" s="34"/>
      <c r="C355" s="26" t="s">
        <v>165</v>
      </c>
      <c r="D355" s="35"/>
      <c r="E355" s="234" t="s">
        <v>166</v>
      </c>
      <c r="F355" s="234"/>
      <c r="G355" s="29"/>
      <c r="H355" s="46">
        <f>H356+H357</f>
        <v>300000</v>
      </c>
      <c r="I355" s="46">
        <f>I356+I357</f>
        <v>300000</v>
      </c>
    </row>
    <row r="356" spans="1:9" ht="15.75" customHeight="1">
      <c r="A356" s="103" t="s">
        <v>731</v>
      </c>
      <c r="B356" s="28"/>
      <c r="C356" s="29"/>
      <c r="D356" s="29" t="s">
        <v>167</v>
      </c>
      <c r="E356" s="225" t="s">
        <v>168</v>
      </c>
      <c r="F356" s="225"/>
      <c r="G356" s="29"/>
      <c r="H356" s="44">
        <v>150000</v>
      </c>
      <c r="I356" s="44">
        <v>150000</v>
      </c>
    </row>
    <row r="357" spans="1:9" ht="15.75" customHeight="1">
      <c r="A357" s="103" t="s">
        <v>732</v>
      </c>
      <c r="B357" s="28"/>
      <c r="C357" s="29"/>
      <c r="D357" s="29" t="s">
        <v>170</v>
      </c>
      <c r="E357" s="225" t="s">
        <v>171</v>
      </c>
      <c r="F357" s="225"/>
      <c r="G357" s="29"/>
      <c r="H357" s="44">
        <v>150000</v>
      </c>
      <c r="I357" s="44">
        <v>150000</v>
      </c>
    </row>
    <row r="358" spans="1:9" ht="15.75" customHeight="1">
      <c r="A358" s="103" t="s">
        <v>733</v>
      </c>
      <c r="B358" s="34"/>
      <c r="C358" s="26" t="s">
        <v>173</v>
      </c>
      <c r="D358" s="35"/>
      <c r="E358" s="234" t="s">
        <v>174</v>
      </c>
      <c r="F358" s="234"/>
      <c r="G358" s="29"/>
      <c r="H358" s="46">
        <f>H359+H360</f>
        <v>250000</v>
      </c>
      <c r="I358" s="46">
        <f>I359+I360</f>
        <v>250000</v>
      </c>
    </row>
    <row r="359" spans="1:9" ht="15.75" customHeight="1">
      <c r="A359" s="103" t="s">
        <v>734</v>
      </c>
      <c r="B359" s="28"/>
      <c r="C359" s="29"/>
      <c r="D359" s="29" t="s">
        <v>175</v>
      </c>
      <c r="E359" s="225" t="s">
        <v>176</v>
      </c>
      <c r="F359" s="225"/>
      <c r="G359" s="29"/>
      <c r="H359" s="44">
        <v>100000</v>
      </c>
      <c r="I359" s="44">
        <v>100000</v>
      </c>
    </row>
    <row r="360" spans="1:9" ht="15.75" customHeight="1">
      <c r="A360" s="103" t="s">
        <v>735</v>
      </c>
      <c r="B360" s="28"/>
      <c r="C360" s="29"/>
      <c r="D360" s="29" t="s">
        <v>177</v>
      </c>
      <c r="E360" s="225" t="s">
        <v>178</v>
      </c>
      <c r="F360" s="225"/>
      <c r="G360" s="29"/>
      <c r="H360" s="44">
        <v>150000</v>
      </c>
      <c r="I360" s="44">
        <v>150000</v>
      </c>
    </row>
    <row r="361" spans="1:9" ht="15.75" customHeight="1">
      <c r="A361" s="103" t="s">
        <v>736</v>
      </c>
      <c r="B361" s="34"/>
      <c r="C361" s="26" t="s">
        <v>179</v>
      </c>
      <c r="D361" s="35"/>
      <c r="E361" s="234" t="s">
        <v>180</v>
      </c>
      <c r="F361" s="234"/>
      <c r="G361" s="29"/>
      <c r="H361" s="46">
        <f>H362+H363+H364</f>
        <v>1270000</v>
      </c>
      <c r="I361" s="46">
        <f>I362+I363+I364</f>
        <v>1270000</v>
      </c>
    </row>
    <row r="362" spans="1:9" ht="15.75" customHeight="1">
      <c r="A362" s="103" t="s">
        <v>737</v>
      </c>
      <c r="B362" s="28"/>
      <c r="C362" s="29"/>
      <c r="D362" s="29" t="s">
        <v>181</v>
      </c>
      <c r="E362" s="225" t="s">
        <v>182</v>
      </c>
      <c r="F362" s="225"/>
      <c r="G362" s="29"/>
      <c r="H362" s="44">
        <v>900000</v>
      </c>
      <c r="I362" s="44">
        <v>900000</v>
      </c>
    </row>
    <row r="363" spans="1:9" ht="15.75" customHeight="1">
      <c r="A363" s="103" t="s">
        <v>738</v>
      </c>
      <c r="B363" s="28"/>
      <c r="C363" s="29"/>
      <c r="D363" s="29" t="s">
        <v>185</v>
      </c>
      <c r="E363" s="225" t="s">
        <v>186</v>
      </c>
      <c r="F363" s="225"/>
      <c r="G363" s="29"/>
      <c r="H363" s="44">
        <v>120000</v>
      </c>
      <c r="I363" s="44">
        <v>120000</v>
      </c>
    </row>
    <row r="364" spans="1:9" ht="15.75" customHeight="1">
      <c r="A364" s="103" t="s">
        <v>739</v>
      </c>
      <c r="B364" s="28"/>
      <c r="C364" s="29"/>
      <c r="D364" s="29" t="s">
        <v>187</v>
      </c>
      <c r="E364" s="225" t="s">
        <v>188</v>
      </c>
      <c r="F364" s="225"/>
      <c r="G364" s="29"/>
      <c r="H364" s="44">
        <v>250000</v>
      </c>
      <c r="I364" s="44">
        <v>250000</v>
      </c>
    </row>
    <row r="365" spans="1:9" ht="15.75" customHeight="1">
      <c r="A365" s="103" t="s">
        <v>740</v>
      </c>
      <c r="B365" s="34"/>
      <c r="C365" s="26" t="s">
        <v>193</v>
      </c>
      <c r="D365" s="35"/>
      <c r="E365" s="234" t="s">
        <v>194</v>
      </c>
      <c r="F365" s="234"/>
      <c r="G365" s="29"/>
      <c r="H365" s="46">
        <f>SUM(H366)</f>
        <v>400000</v>
      </c>
      <c r="I365" s="46">
        <f>SUM(I366)</f>
        <v>400000</v>
      </c>
    </row>
    <row r="366" spans="1:9" ht="15.75" customHeight="1">
      <c r="A366" s="103" t="s">
        <v>741</v>
      </c>
      <c r="B366" s="28"/>
      <c r="C366" s="29"/>
      <c r="D366" s="29" t="s">
        <v>195</v>
      </c>
      <c r="E366" s="225" t="s">
        <v>196</v>
      </c>
      <c r="F366" s="225"/>
      <c r="G366" s="29"/>
      <c r="H366" s="45">
        <v>400000</v>
      </c>
      <c r="I366" s="45">
        <v>400000</v>
      </c>
    </row>
    <row r="367" spans="1:9" ht="15.75" customHeight="1">
      <c r="A367" s="103" t="s">
        <v>742</v>
      </c>
      <c r="B367" s="28"/>
      <c r="C367" s="29"/>
      <c r="D367" s="29"/>
      <c r="E367" s="29"/>
      <c r="F367" s="29"/>
      <c r="G367" s="29"/>
      <c r="H367" s="45"/>
      <c r="I367" s="45"/>
    </row>
    <row r="368" spans="1:9" ht="15.75" customHeight="1">
      <c r="A368" s="103" t="s">
        <v>743</v>
      </c>
      <c r="B368" s="192" t="s">
        <v>301</v>
      </c>
      <c r="C368" s="192"/>
      <c r="D368" s="192"/>
      <c r="E368" s="192"/>
      <c r="F368" s="192"/>
      <c r="G368" s="48">
        <v>0.25</v>
      </c>
      <c r="H368" s="43">
        <f>H369+H372+H374</f>
        <v>1685400</v>
      </c>
      <c r="I368" s="43">
        <f>I369+I372+I374</f>
        <v>1685400</v>
      </c>
    </row>
    <row r="369" spans="1:9" ht="15.75" customHeight="1">
      <c r="A369" s="103" t="s">
        <v>744</v>
      </c>
      <c r="B369" s="25" t="s">
        <v>23</v>
      </c>
      <c r="C369" s="26"/>
      <c r="D369" s="234" t="s">
        <v>146</v>
      </c>
      <c r="E369" s="234"/>
      <c r="F369" s="234"/>
      <c r="G369" s="29"/>
      <c r="H369" s="46">
        <f>SUM(H370)</f>
        <v>1280000</v>
      </c>
      <c r="I369" s="46">
        <f>SUM(I370)</f>
        <v>1280000</v>
      </c>
    </row>
    <row r="370" spans="1:9" ht="15.75" customHeight="1">
      <c r="A370" s="103" t="s">
        <v>745</v>
      </c>
      <c r="B370" s="28"/>
      <c r="C370" s="26" t="s">
        <v>147</v>
      </c>
      <c r="D370" s="26"/>
      <c r="E370" s="234" t="s">
        <v>148</v>
      </c>
      <c r="F370" s="234"/>
      <c r="G370" s="29"/>
      <c r="H370" s="46">
        <f>SUM(H371:H371)</f>
        <v>1280000</v>
      </c>
      <c r="I370" s="46">
        <f>SUM(I371:I371)</f>
        <v>1280000</v>
      </c>
    </row>
    <row r="371" spans="1:9" ht="15.75" customHeight="1">
      <c r="A371" s="103" t="s">
        <v>746</v>
      </c>
      <c r="B371" s="21"/>
      <c r="C371" s="29"/>
      <c r="D371" s="29" t="s">
        <v>149</v>
      </c>
      <c r="E371" s="225" t="s">
        <v>150</v>
      </c>
      <c r="F371" s="225"/>
      <c r="G371" s="29"/>
      <c r="H371" s="44">
        <f>780000+500000</f>
        <v>1280000</v>
      </c>
      <c r="I371" s="44">
        <f>780000+500000</f>
        <v>1280000</v>
      </c>
    </row>
    <row r="372" spans="1:9" ht="15.75" customHeight="1">
      <c r="A372" s="103" t="s">
        <v>747</v>
      </c>
      <c r="B372" s="25" t="s">
        <v>25</v>
      </c>
      <c r="C372" s="26"/>
      <c r="D372" s="234" t="s">
        <v>162</v>
      </c>
      <c r="E372" s="234"/>
      <c r="F372" s="234"/>
      <c r="G372" s="29"/>
      <c r="H372" s="46">
        <f>SUM(H373:H373)</f>
        <v>166400</v>
      </c>
      <c r="I372" s="46">
        <f>SUM(I373:I373)</f>
        <v>166400</v>
      </c>
    </row>
    <row r="373" spans="1:9" ht="15.75" customHeight="1">
      <c r="A373" s="103" t="s">
        <v>748</v>
      </c>
      <c r="B373" s="28"/>
      <c r="C373" s="29"/>
      <c r="D373" s="29"/>
      <c r="E373" s="237" t="s">
        <v>163</v>
      </c>
      <c r="F373" s="237"/>
      <c r="G373" s="29"/>
      <c r="H373" s="44">
        <f>H370*0.13</f>
        <v>166400</v>
      </c>
      <c r="I373" s="44">
        <f>I370*0.13</f>
        <v>166400</v>
      </c>
    </row>
    <row r="374" spans="1:9" ht="15.75" customHeight="1">
      <c r="A374" s="103" t="s">
        <v>749</v>
      </c>
      <c r="B374" s="25" t="s">
        <v>27</v>
      </c>
      <c r="C374" s="26"/>
      <c r="D374" s="234" t="s">
        <v>28</v>
      </c>
      <c r="E374" s="234"/>
      <c r="F374" s="234"/>
      <c r="G374" s="29"/>
      <c r="H374" s="46">
        <f>H375+H380+H378</f>
        <v>239000</v>
      </c>
      <c r="I374" s="46">
        <f>I375+I380+I378</f>
        <v>239000</v>
      </c>
    </row>
    <row r="375" spans="1:9" ht="15.75" customHeight="1">
      <c r="A375" s="103" t="s">
        <v>750</v>
      </c>
      <c r="B375" s="34"/>
      <c r="C375" s="26" t="s">
        <v>165</v>
      </c>
      <c r="D375" s="35"/>
      <c r="E375" s="234" t="s">
        <v>166</v>
      </c>
      <c r="F375" s="234"/>
      <c r="G375" s="29"/>
      <c r="H375" s="46">
        <f>H376+H377</f>
        <v>120000</v>
      </c>
      <c r="I375" s="46">
        <f>I376+I377</f>
        <v>120000</v>
      </c>
    </row>
    <row r="376" spans="1:9" ht="15.75" customHeight="1">
      <c r="A376" s="103" t="s">
        <v>751</v>
      </c>
      <c r="B376" s="28"/>
      <c r="C376" s="29"/>
      <c r="D376" s="29" t="s">
        <v>167</v>
      </c>
      <c r="E376" s="225" t="s">
        <v>168</v>
      </c>
      <c r="F376" s="225"/>
      <c r="G376" s="29"/>
      <c r="H376" s="44">
        <v>100000</v>
      </c>
      <c r="I376" s="44">
        <v>100000</v>
      </c>
    </row>
    <row r="377" spans="1:9" ht="15.75" customHeight="1">
      <c r="A377" s="103" t="s">
        <v>752</v>
      </c>
      <c r="B377" s="28"/>
      <c r="C377" s="29"/>
      <c r="D377" s="29" t="s">
        <v>170</v>
      </c>
      <c r="E377" s="225" t="s">
        <v>171</v>
      </c>
      <c r="F377" s="225"/>
      <c r="G377" s="29"/>
      <c r="H377" s="44">
        <v>20000</v>
      </c>
      <c r="I377" s="44">
        <v>20000</v>
      </c>
    </row>
    <row r="378" spans="1:9" ht="15.75" customHeight="1">
      <c r="A378" s="103" t="s">
        <v>753</v>
      </c>
      <c r="B378" s="28"/>
      <c r="C378" s="61" t="s">
        <v>179</v>
      </c>
      <c r="D378" s="235" t="s">
        <v>180</v>
      </c>
      <c r="E378" s="235"/>
      <c r="F378" s="235"/>
      <c r="G378" s="29"/>
      <c r="H378" s="46">
        <f>SUM(H379:H379)</f>
        <v>77000</v>
      </c>
      <c r="I378" s="46">
        <f>SUM(I379:I379)</f>
        <v>77000</v>
      </c>
    </row>
    <row r="379" spans="1:9" ht="15.75" customHeight="1">
      <c r="A379" s="103" t="s">
        <v>754</v>
      </c>
      <c r="B379" s="28"/>
      <c r="C379" s="29"/>
      <c r="D379" s="29" t="s">
        <v>187</v>
      </c>
      <c r="E379" s="225" t="s">
        <v>188</v>
      </c>
      <c r="F379" s="225"/>
      <c r="G379" s="29"/>
      <c r="H379" s="44">
        <v>77000</v>
      </c>
      <c r="I379" s="44">
        <v>77000</v>
      </c>
    </row>
    <row r="380" spans="1:9" ht="15.75" customHeight="1">
      <c r="A380" s="103" t="s">
        <v>755</v>
      </c>
      <c r="B380" s="28"/>
      <c r="C380" s="26" t="s">
        <v>193</v>
      </c>
      <c r="D380" s="35"/>
      <c r="E380" s="234" t="s">
        <v>194</v>
      </c>
      <c r="F380" s="234"/>
      <c r="G380" s="29"/>
      <c r="H380" s="46">
        <f>SUM(H381)</f>
        <v>42000</v>
      </c>
      <c r="I380" s="46">
        <f>SUM(I381)</f>
        <v>42000</v>
      </c>
    </row>
    <row r="381" spans="1:9" ht="15.75" customHeight="1">
      <c r="A381" s="103" t="s">
        <v>756</v>
      </c>
      <c r="B381" s="28"/>
      <c r="C381" s="29"/>
      <c r="D381" s="29" t="s">
        <v>195</v>
      </c>
      <c r="E381" s="225" t="s">
        <v>196</v>
      </c>
      <c r="F381" s="225"/>
      <c r="G381" s="29"/>
      <c r="H381" s="45">
        <v>42000</v>
      </c>
      <c r="I381" s="45">
        <v>42000</v>
      </c>
    </row>
    <row r="382" spans="1:9" ht="15.75" customHeight="1">
      <c r="A382" s="103" t="s">
        <v>757</v>
      </c>
      <c r="B382" s="28"/>
      <c r="C382" s="29"/>
      <c r="D382" s="29"/>
      <c r="E382" s="29"/>
      <c r="F382" s="29"/>
      <c r="G382" s="29"/>
      <c r="H382" s="45"/>
      <c r="I382" s="45"/>
    </row>
    <row r="383" spans="1:9" ht="15.75" customHeight="1">
      <c r="A383" s="103" t="s">
        <v>758</v>
      </c>
      <c r="B383" s="192" t="s">
        <v>142</v>
      </c>
      <c r="C383" s="192"/>
      <c r="D383" s="192"/>
      <c r="E383" s="192"/>
      <c r="F383" s="192"/>
      <c r="G383" s="48">
        <v>2.5</v>
      </c>
      <c r="H383" s="43">
        <f>H384+H390+H393+H410</f>
        <v>23406020</v>
      </c>
      <c r="I383" s="43">
        <f>I384+I390+I393+I410</f>
        <v>23406020</v>
      </c>
    </row>
    <row r="384" spans="1:9" ht="15.75" customHeight="1">
      <c r="A384" s="103" t="s">
        <v>759</v>
      </c>
      <c r="B384" s="25" t="s">
        <v>23</v>
      </c>
      <c r="C384" s="26"/>
      <c r="D384" s="234" t="s">
        <v>146</v>
      </c>
      <c r="E384" s="234"/>
      <c r="F384" s="234"/>
      <c r="G384" s="29"/>
      <c r="H384" s="46">
        <f>H385</f>
        <v>9944625</v>
      </c>
      <c r="I384" s="46">
        <f>I385</f>
        <v>9944625</v>
      </c>
    </row>
    <row r="385" spans="1:9" ht="15.75" customHeight="1">
      <c r="A385" s="103" t="s">
        <v>760</v>
      </c>
      <c r="B385" s="28"/>
      <c r="C385" s="26" t="s">
        <v>147</v>
      </c>
      <c r="D385" s="26"/>
      <c r="E385" s="234" t="s">
        <v>148</v>
      </c>
      <c r="F385" s="234"/>
      <c r="G385" s="29"/>
      <c r="H385" s="46">
        <f>SUM(H386:H389)</f>
        <v>9944625</v>
      </c>
      <c r="I385" s="46">
        <f>SUM(I386:I389)</f>
        <v>9944625</v>
      </c>
    </row>
    <row r="386" spans="1:9" ht="15.75" customHeight="1">
      <c r="A386" s="103" t="s">
        <v>761</v>
      </c>
      <c r="B386" s="21"/>
      <c r="C386" s="29"/>
      <c r="D386" s="29" t="s">
        <v>149</v>
      </c>
      <c r="E386" s="225" t="s">
        <v>150</v>
      </c>
      <c r="F386" s="225"/>
      <c r="G386" s="29"/>
      <c r="H386" s="44">
        <v>9084000</v>
      </c>
      <c r="I386" s="44">
        <v>9084000</v>
      </c>
    </row>
    <row r="387" spans="1:9" ht="15.75" customHeight="1">
      <c r="A387" s="103" t="s">
        <v>762</v>
      </c>
      <c r="B387" s="21"/>
      <c r="C387" s="29"/>
      <c r="D387" s="29" t="s">
        <v>299</v>
      </c>
      <c r="E387" s="225" t="s">
        <v>308</v>
      </c>
      <c r="F387" s="225"/>
      <c r="G387" s="29"/>
      <c r="H387" s="44">
        <v>360000</v>
      </c>
      <c r="I387" s="44">
        <v>360000</v>
      </c>
    </row>
    <row r="388" spans="1:9" ht="15.75" customHeight="1">
      <c r="A388" s="103" t="s">
        <v>763</v>
      </c>
      <c r="B388" s="28"/>
      <c r="C388" s="29"/>
      <c r="D388" s="29" t="s">
        <v>151</v>
      </c>
      <c r="E388" s="225" t="s">
        <v>152</v>
      </c>
      <c r="F388" s="225"/>
      <c r="G388" s="29"/>
      <c r="H388" s="44">
        <v>390625</v>
      </c>
      <c r="I388" s="44">
        <v>390625</v>
      </c>
    </row>
    <row r="389" spans="1:9" ht="15.75" customHeight="1">
      <c r="A389" s="103" t="s">
        <v>764</v>
      </c>
      <c r="B389" s="28"/>
      <c r="C389" s="29"/>
      <c r="D389" s="29" t="s">
        <v>210</v>
      </c>
      <c r="E389" s="225" t="s">
        <v>148</v>
      </c>
      <c r="F389" s="225"/>
      <c r="G389" s="29"/>
      <c r="H389" s="44">
        <v>110000</v>
      </c>
      <c r="I389" s="44">
        <v>110000</v>
      </c>
    </row>
    <row r="390" spans="1:9" ht="15.75" customHeight="1">
      <c r="A390" s="103" t="s">
        <v>765</v>
      </c>
      <c r="B390" s="25" t="s">
        <v>25</v>
      </c>
      <c r="C390" s="26"/>
      <c r="D390" s="234" t="s">
        <v>162</v>
      </c>
      <c r="E390" s="234"/>
      <c r="F390" s="234"/>
      <c r="G390" s="29"/>
      <c r="H390" s="46">
        <f>SUM(H391:H392)</f>
        <v>1351395</v>
      </c>
      <c r="I390" s="46">
        <f>SUM(I391:I392)</f>
        <v>1351395</v>
      </c>
    </row>
    <row r="391" spans="1:9" ht="15.75" customHeight="1">
      <c r="A391" s="103" t="s">
        <v>766</v>
      </c>
      <c r="B391" s="28"/>
      <c r="C391" s="29"/>
      <c r="D391" s="29"/>
      <c r="E391" s="237" t="s">
        <v>163</v>
      </c>
      <c r="F391" s="237"/>
      <c r="G391" s="29"/>
      <c r="H391" s="44">
        <f>H385*0.13</f>
        <v>1292801.25</v>
      </c>
      <c r="I391" s="44">
        <f>I385*0.13</f>
        <v>1292801.25</v>
      </c>
    </row>
    <row r="392" spans="1:9" ht="15.75" customHeight="1">
      <c r="A392" s="103" t="s">
        <v>767</v>
      </c>
      <c r="B392" s="28"/>
      <c r="C392" s="29"/>
      <c r="D392" s="29"/>
      <c r="E392" s="237" t="s">
        <v>164</v>
      </c>
      <c r="F392" s="237"/>
      <c r="G392" s="29"/>
      <c r="H392" s="44">
        <f>H388*0.15</f>
        <v>58593.75</v>
      </c>
      <c r="I392" s="44">
        <f>I388*0.15</f>
        <v>58593.75</v>
      </c>
    </row>
    <row r="393" spans="1:9" ht="15.75" customHeight="1">
      <c r="A393" s="103" t="s">
        <v>768</v>
      </c>
      <c r="B393" s="25" t="s">
        <v>27</v>
      </c>
      <c r="C393" s="26"/>
      <c r="D393" s="234" t="s">
        <v>28</v>
      </c>
      <c r="E393" s="234"/>
      <c r="F393" s="234"/>
      <c r="G393" s="29"/>
      <c r="H393" s="46">
        <f>H394+H397+H400+H404+H407</f>
        <v>12110000</v>
      </c>
      <c r="I393" s="46">
        <f>I394+I397+I400+I404+I407</f>
        <v>12110000</v>
      </c>
    </row>
    <row r="394" spans="1:9" ht="15.75" customHeight="1">
      <c r="A394" s="103" t="s">
        <v>769</v>
      </c>
      <c r="B394" s="34"/>
      <c r="C394" s="26" t="s">
        <v>165</v>
      </c>
      <c r="D394" s="35"/>
      <c r="E394" s="234" t="s">
        <v>166</v>
      </c>
      <c r="F394" s="234"/>
      <c r="G394" s="29"/>
      <c r="H394" s="46">
        <f>H395+H396</f>
        <v>2100000</v>
      </c>
      <c r="I394" s="46">
        <f>I395+I396</f>
        <v>2100000</v>
      </c>
    </row>
    <row r="395" spans="1:9" ht="15.75" customHeight="1">
      <c r="A395" s="103" t="s">
        <v>770</v>
      </c>
      <c r="B395" s="28"/>
      <c r="C395" s="29"/>
      <c r="D395" s="29" t="s">
        <v>167</v>
      </c>
      <c r="E395" s="225" t="s">
        <v>168</v>
      </c>
      <c r="F395" s="225"/>
      <c r="G395" s="29"/>
      <c r="H395" s="44">
        <v>800000</v>
      </c>
      <c r="I395" s="44">
        <v>800000</v>
      </c>
    </row>
    <row r="396" spans="1:9" ht="15.75" customHeight="1">
      <c r="A396" s="103" t="s">
        <v>771</v>
      </c>
      <c r="B396" s="28"/>
      <c r="C396" s="29"/>
      <c r="D396" s="29" t="s">
        <v>170</v>
      </c>
      <c r="E396" s="225" t="s">
        <v>171</v>
      </c>
      <c r="F396" s="225"/>
      <c r="G396" s="29"/>
      <c r="H396" s="44">
        <v>1300000</v>
      </c>
      <c r="I396" s="44">
        <v>1300000</v>
      </c>
    </row>
    <row r="397" spans="1:9" ht="15.75" customHeight="1">
      <c r="A397" s="103" t="s">
        <v>772</v>
      </c>
      <c r="B397" s="34"/>
      <c r="C397" s="26" t="s">
        <v>173</v>
      </c>
      <c r="D397" s="35"/>
      <c r="E397" s="234" t="s">
        <v>174</v>
      </c>
      <c r="F397" s="234"/>
      <c r="G397" s="29"/>
      <c r="H397" s="46">
        <f>H398+H399</f>
        <v>500000</v>
      </c>
      <c r="I397" s="46">
        <f>I398+I399</f>
        <v>500000</v>
      </c>
    </row>
    <row r="398" spans="1:9" ht="15.75" customHeight="1">
      <c r="A398" s="103" t="s">
        <v>773</v>
      </c>
      <c r="B398" s="28"/>
      <c r="C398" s="29"/>
      <c r="D398" s="29" t="s">
        <v>175</v>
      </c>
      <c r="E398" s="225" t="s">
        <v>176</v>
      </c>
      <c r="F398" s="225"/>
      <c r="G398" s="29"/>
      <c r="H398" s="44">
        <v>200000</v>
      </c>
      <c r="I398" s="44">
        <v>200000</v>
      </c>
    </row>
    <row r="399" spans="1:9" ht="15.75" customHeight="1">
      <c r="A399" s="103" t="s">
        <v>774</v>
      </c>
      <c r="B399" s="28"/>
      <c r="C399" s="29"/>
      <c r="D399" s="29" t="s">
        <v>177</v>
      </c>
      <c r="E399" s="225" t="s">
        <v>178</v>
      </c>
      <c r="F399" s="225"/>
      <c r="G399" s="29"/>
      <c r="H399" s="44">
        <v>300000</v>
      </c>
      <c r="I399" s="44">
        <v>300000</v>
      </c>
    </row>
    <row r="400" spans="1:9" ht="15.75" customHeight="1">
      <c r="A400" s="103" t="s">
        <v>775</v>
      </c>
      <c r="B400" s="34"/>
      <c r="C400" s="26" t="s">
        <v>179</v>
      </c>
      <c r="D400" s="35"/>
      <c r="E400" s="234" t="s">
        <v>180</v>
      </c>
      <c r="F400" s="234"/>
      <c r="G400" s="29"/>
      <c r="H400" s="46">
        <f>H401+H402+H403</f>
        <v>8300000</v>
      </c>
      <c r="I400" s="46">
        <f>I401+I402+I403</f>
        <v>8300000</v>
      </c>
    </row>
    <row r="401" spans="1:9" ht="15.75" customHeight="1">
      <c r="A401" s="103" t="s">
        <v>776</v>
      </c>
      <c r="B401" s="28"/>
      <c r="C401" s="29"/>
      <c r="D401" s="29" t="s">
        <v>181</v>
      </c>
      <c r="E401" s="225" t="s">
        <v>182</v>
      </c>
      <c r="F401" s="225"/>
      <c r="G401" s="29"/>
      <c r="H401" s="44">
        <v>1000000</v>
      </c>
      <c r="I401" s="44">
        <v>1000000</v>
      </c>
    </row>
    <row r="402" spans="1:9" ht="15.75" customHeight="1">
      <c r="A402" s="103" t="s">
        <v>777</v>
      </c>
      <c r="B402" s="28"/>
      <c r="C402" s="29"/>
      <c r="D402" s="29" t="s">
        <v>185</v>
      </c>
      <c r="E402" s="225" t="s">
        <v>186</v>
      </c>
      <c r="F402" s="225"/>
      <c r="G402" s="29"/>
      <c r="H402" s="44">
        <v>300000</v>
      </c>
      <c r="I402" s="44">
        <v>300000</v>
      </c>
    </row>
    <row r="403" spans="1:9" ht="15.75" customHeight="1">
      <c r="A403" s="103" t="s">
        <v>778</v>
      </c>
      <c r="B403" s="28"/>
      <c r="C403" s="29"/>
      <c r="D403" s="29" t="s">
        <v>187</v>
      </c>
      <c r="E403" s="225" t="s">
        <v>188</v>
      </c>
      <c r="F403" s="225"/>
      <c r="G403" s="29"/>
      <c r="H403" s="44">
        <v>7000000</v>
      </c>
      <c r="I403" s="44">
        <v>7000000</v>
      </c>
    </row>
    <row r="404" spans="1:9" ht="15.75" customHeight="1">
      <c r="A404" s="103" t="s">
        <v>779</v>
      </c>
      <c r="B404" s="34"/>
      <c r="C404" s="26" t="s">
        <v>189</v>
      </c>
      <c r="D404" s="35"/>
      <c r="E404" s="234" t="s">
        <v>190</v>
      </c>
      <c r="F404" s="234"/>
      <c r="G404" s="29"/>
      <c r="H404" s="46">
        <f>H405+H406</f>
        <v>200000</v>
      </c>
      <c r="I404" s="46">
        <f>I405+I406</f>
        <v>200000</v>
      </c>
    </row>
    <row r="405" spans="1:9" ht="15.75" customHeight="1">
      <c r="A405" s="103" t="s">
        <v>780</v>
      </c>
      <c r="B405" s="28"/>
      <c r="C405" s="29"/>
      <c r="D405" s="29" t="s">
        <v>191</v>
      </c>
      <c r="E405" s="225" t="s">
        <v>192</v>
      </c>
      <c r="F405" s="225"/>
      <c r="G405" s="29"/>
      <c r="H405" s="44">
        <v>100000</v>
      </c>
      <c r="I405" s="44">
        <v>100000</v>
      </c>
    </row>
    <row r="406" spans="1:9" ht="15.75" customHeight="1">
      <c r="A406" s="103" t="s">
        <v>781</v>
      </c>
      <c r="B406" s="28"/>
      <c r="C406" s="29"/>
      <c r="D406" s="29" t="s">
        <v>230</v>
      </c>
      <c r="E406" s="225" t="s">
        <v>231</v>
      </c>
      <c r="F406" s="225"/>
      <c r="G406" s="29"/>
      <c r="H406" s="44">
        <v>100000</v>
      </c>
      <c r="I406" s="44">
        <v>100000</v>
      </c>
    </row>
    <row r="407" spans="1:9" ht="15.75" customHeight="1">
      <c r="A407" s="103" t="s">
        <v>782</v>
      </c>
      <c r="B407" s="34"/>
      <c r="C407" s="26" t="s">
        <v>193</v>
      </c>
      <c r="D407" s="35"/>
      <c r="E407" s="234" t="s">
        <v>194</v>
      </c>
      <c r="F407" s="234"/>
      <c r="G407" s="29"/>
      <c r="H407" s="46">
        <f>SUM(H408:H409)</f>
        <v>1010000</v>
      </c>
      <c r="I407" s="46">
        <f>SUM(I408:I409)</f>
        <v>1010000</v>
      </c>
    </row>
    <row r="408" spans="1:9" ht="15.75" customHeight="1">
      <c r="A408" s="103" t="s">
        <v>783</v>
      </c>
      <c r="B408" s="28"/>
      <c r="C408" s="29"/>
      <c r="D408" s="29" t="s">
        <v>195</v>
      </c>
      <c r="E408" s="225" t="s">
        <v>196</v>
      </c>
      <c r="F408" s="225"/>
      <c r="G408" s="29"/>
      <c r="H408" s="44">
        <v>1000000</v>
      </c>
      <c r="I408" s="44">
        <v>1000000</v>
      </c>
    </row>
    <row r="409" spans="1:9" ht="15.75" customHeight="1">
      <c r="A409" s="103" t="s">
        <v>784</v>
      </c>
      <c r="B409" s="28"/>
      <c r="C409" s="29"/>
      <c r="D409" s="29" t="s">
        <v>327</v>
      </c>
      <c r="E409" s="225" t="s">
        <v>328</v>
      </c>
      <c r="F409" s="225"/>
      <c r="G409" s="29"/>
      <c r="H409" s="44">
        <v>10000</v>
      </c>
      <c r="I409" s="44">
        <v>10000</v>
      </c>
    </row>
    <row r="410" spans="1:9" ht="15.75" customHeight="1">
      <c r="A410" s="103" t="s">
        <v>785</v>
      </c>
      <c r="B410" s="38" t="s">
        <v>34</v>
      </c>
      <c r="C410" s="29"/>
      <c r="D410" s="234" t="s">
        <v>35</v>
      </c>
      <c r="E410" s="234"/>
      <c r="F410" s="234"/>
      <c r="G410" s="29"/>
      <c r="H410" s="46">
        <f>SUM(H411:H413)</f>
        <v>0</v>
      </c>
      <c r="I410" s="46">
        <f>SUM(I411:I413)</f>
        <v>0</v>
      </c>
    </row>
    <row r="411" spans="1:9" ht="15.75" customHeight="1">
      <c r="A411" s="103" t="s">
        <v>786</v>
      </c>
      <c r="B411" s="38"/>
      <c r="C411" s="26" t="s">
        <v>333</v>
      </c>
      <c r="D411" s="26"/>
      <c r="E411" s="225" t="s">
        <v>334</v>
      </c>
      <c r="F411" s="225"/>
      <c r="G411" s="29"/>
      <c r="H411" s="44"/>
      <c r="I411" s="44"/>
    </row>
    <row r="412" spans="1:9" ht="15.75" customHeight="1">
      <c r="A412" s="103" t="s">
        <v>787</v>
      </c>
      <c r="B412" s="28"/>
      <c r="C412" s="26" t="s">
        <v>305</v>
      </c>
      <c r="D412" s="29"/>
      <c r="E412" s="225" t="s">
        <v>304</v>
      </c>
      <c r="F412" s="225"/>
      <c r="G412" s="29"/>
      <c r="H412" s="44"/>
      <c r="I412" s="44"/>
    </row>
    <row r="413" spans="1:9" ht="15.75" customHeight="1">
      <c r="A413" s="103" t="s">
        <v>788</v>
      </c>
      <c r="B413" s="28"/>
      <c r="C413" s="26" t="s">
        <v>216</v>
      </c>
      <c r="D413" s="29"/>
      <c r="E413" s="225" t="s">
        <v>217</v>
      </c>
      <c r="F413" s="225"/>
      <c r="G413" s="29"/>
      <c r="H413" s="44"/>
      <c r="I413" s="44"/>
    </row>
    <row r="414" spans="1:9" ht="15.75" customHeight="1">
      <c r="A414" s="103" t="s">
        <v>789</v>
      </c>
      <c r="B414" s="28"/>
      <c r="C414" s="29"/>
      <c r="D414" s="29"/>
      <c r="E414" s="29"/>
      <c r="F414" s="29"/>
      <c r="G414" s="29"/>
      <c r="H414" s="44"/>
      <c r="I414" s="44"/>
    </row>
    <row r="415" spans="1:9" ht="15.75" customHeight="1">
      <c r="A415" s="103" t="s">
        <v>790</v>
      </c>
      <c r="B415" s="192" t="s">
        <v>246</v>
      </c>
      <c r="C415" s="192"/>
      <c r="D415" s="192"/>
      <c r="E415" s="192"/>
      <c r="F415" s="192"/>
      <c r="G415" s="41"/>
      <c r="H415" s="43">
        <f>H416</f>
        <v>2500000</v>
      </c>
      <c r="I415" s="43">
        <f>I416</f>
        <v>2500000</v>
      </c>
    </row>
    <row r="416" spans="1:9" ht="15.75" customHeight="1">
      <c r="A416" s="103" t="s">
        <v>791</v>
      </c>
      <c r="B416" s="25" t="s">
        <v>27</v>
      </c>
      <c r="C416" s="61"/>
      <c r="D416" s="235" t="s">
        <v>28</v>
      </c>
      <c r="E416" s="235"/>
      <c r="F416" s="235"/>
      <c r="G416" s="61"/>
      <c r="H416" s="62">
        <f>H420+H417+H423</f>
        <v>2500000</v>
      </c>
      <c r="I416" s="62">
        <f>I420+I417+I423</f>
        <v>2500000</v>
      </c>
    </row>
    <row r="417" spans="1:9" ht="15.75" customHeight="1">
      <c r="A417" s="103" t="s">
        <v>792</v>
      </c>
      <c r="B417" s="34"/>
      <c r="C417" s="26" t="s">
        <v>165</v>
      </c>
      <c r="D417" s="35"/>
      <c r="E417" s="234" t="s">
        <v>166</v>
      </c>
      <c r="F417" s="234"/>
      <c r="G417" s="61"/>
      <c r="H417" s="62">
        <f>H418</f>
        <v>800000</v>
      </c>
      <c r="I417" s="62">
        <f>I418</f>
        <v>800000</v>
      </c>
    </row>
    <row r="418" spans="1:9" ht="15.75" customHeight="1">
      <c r="A418" s="103" t="s">
        <v>793</v>
      </c>
      <c r="B418" s="28"/>
      <c r="C418" s="29"/>
      <c r="D418" s="29" t="s">
        <v>170</v>
      </c>
      <c r="E418" s="225" t="s">
        <v>171</v>
      </c>
      <c r="F418" s="225"/>
      <c r="G418" s="61"/>
      <c r="H418" s="45">
        <f>H419</f>
        <v>800000</v>
      </c>
      <c r="I418" s="45">
        <f>I419</f>
        <v>800000</v>
      </c>
    </row>
    <row r="419" spans="1:9" ht="15.75" customHeight="1">
      <c r="A419" s="103" t="s">
        <v>794</v>
      </c>
      <c r="B419" s="25"/>
      <c r="C419" s="26"/>
      <c r="D419" s="26"/>
      <c r="E419" s="26"/>
      <c r="F419" s="31" t="s">
        <v>172</v>
      </c>
      <c r="G419" s="61"/>
      <c r="H419" s="45">
        <v>800000</v>
      </c>
      <c r="I419" s="45">
        <v>800000</v>
      </c>
    </row>
    <row r="420" spans="1:9" ht="15.75" customHeight="1">
      <c r="A420" s="103" t="s">
        <v>795</v>
      </c>
      <c r="B420" s="63"/>
      <c r="C420" s="61" t="s">
        <v>179</v>
      </c>
      <c r="D420" s="235" t="s">
        <v>180</v>
      </c>
      <c r="E420" s="235"/>
      <c r="F420" s="235"/>
      <c r="G420" s="61"/>
      <c r="H420" s="62">
        <f>H421</f>
        <v>1300000</v>
      </c>
      <c r="I420" s="62">
        <f>I421</f>
        <v>1300000</v>
      </c>
    </row>
    <row r="421" spans="1:9" ht="15.75" customHeight="1">
      <c r="A421" s="103" t="s">
        <v>796</v>
      </c>
      <c r="B421" s="63"/>
      <c r="C421" s="61"/>
      <c r="D421" s="64" t="s">
        <v>187</v>
      </c>
      <c r="E421" s="236" t="s">
        <v>188</v>
      </c>
      <c r="F421" s="236"/>
      <c r="G421" s="61"/>
      <c r="H421" s="45">
        <f>H422</f>
        <v>1300000</v>
      </c>
      <c r="I421" s="45">
        <f>I422</f>
        <v>1300000</v>
      </c>
    </row>
    <row r="422" spans="1:9" ht="15.75" customHeight="1">
      <c r="A422" s="103" t="s">
        <v>797</v>
      </c>
      <c r="B422" s="63"/>
      <c r="C422" s="61"/>
      <c r="D422" s="61"/>
      <c r="E422" s="61"/>
      <c r="F422" s="64" t="s">
        <v>247</v>
      </c>
      <c r="G422" s="61"/>
      <c r="H422" s="45">
        <v>1300000</v>
      </c>
      <c r="I422" s="45">
        <v>1300000</v>
      </c>
    </row>
    <row r="423" spans="1:9" ht="15.75" customHeight="1">
      <c r="A423" s="103" t="s">
        <v>798</v>
      </c>
      <c r="B423" s="63"/>
      <c r="C423" s="26" t="s">
        <v>193</v>
      </c>
      <c r="D423" s="35"/>
      <c r="E423" s="234" t="s">
        <v>194</v>
      </c>
      <c r="F423" s="234"/>
      <c r="G423" s="61"/>
      <c r="H423" s="62">
        <f>H424</f>
        <v>400000</v>
      </c>
      <c r="I423" s="62">
        <f>I424</f>
        <v>400000</v>
      </c>
    </row>
    <row r="424" spans="1:9" ht="15.75" customHeight="1">
      <c r="A424" s="103" t="s">
        <v>799</v>
      </c>
      <c r="B424" s="63"/>
      <c r="C424" s="29"/>
      <c r="D424" s="29" t="s">
        <v>195</v>
      </c>
      <c r="E424" s="225" t="s">
        <v>196</v>
      </c>
      <c r="F424" s="225"/>
      <c r="G424" s="61"/>
      <c r="H424" s="45">
        <v>400000</v>
      </c>
      <c r="I424" s="45">
        <v>400000</v>
      </c>
    </row>
    <row r="425" spans="1:9" ht="15.75" customHeight="1">
      <c r="A425" s="103" t="s">
        <v>800</v>
      </c>
      <c r="B425" s="28"/>
      <c r="C425" s="26"/>
      <c r="D425" s="29"/>
      <c r="E425" s="29"/>
      <c r="F425" s="29"/>
      <c r="G425" s="29"/>
      <c r="H425" s="44"/>
      <c r="I425" s="44"/>
    </row>
    <row r="426" spans="1:9" ht="15.75" customHeight="1">
      <c r="A426" s="103" t="s">
        <v>801</v>
      </c>
      <c r="B426" s="192" t="s">
        <v>250</v>
      </c>
      <c r="C426" s="192"/>
      <c r="D426" s="192"/>
      <c r="E426" s="192"/>
      <c r="F426" s="192"/>
      <c r="G426" s="39"/>
      <c r="H426" s="43">
        <f>H427</f>
        <v>5726000</v>
      </c>
      <c r="I426" s="43">
        <f>I427</f>
        <v>5726000</v>
      </c>
    </row>
    <row r="427" spans="1:9" ht="15.75" customHeight="1">
      <c r="A427" s="103" t="s">
        <v>802</v>
      </c>
      <c r="B427" s="25" t="s">
        <v>29</v>
      </c>
      <c r="C427" s="29"/>
      <c r="D427" s="234" t="s">
        <v>248</v>
      </c>
      <c r="E427" s="234"/>
      <c r="F427" s="234"/>
      <c r="G427" s="29"/>
      <c r="H427" s="46">
        <f>H428</f>
        <v>5726000</v>
      </c>
      <c r="I427" s="46">
        <f>I428</f>
        <v>5726000</v>
      </c>
    </row>
    <row r="428" spans="1:9" ht="15.75" customHeight="1">
      <c r="A428" s="103" t="s">
        <v>803</v>
      </c>
      <c r="B428" s="28"/>
      <c r="C428" s="26" t="s">
        <v>251</v>
      </c>
      <c r="D428" s="26"/>
      <c r="E428" s="234" t="s">
        <v>252</v>
      </c>
      <c r="F428" s="234"/>
      <c r="G428" s="29"/>
      <c r="H428" s="46">
        <f>SUM(H429)</f>
        <v>5726000</v>
      </c>
      <c r="I428" s="46">
        <f>SUM(I429)</f>
        <v>5726000</v>
      </c>
    </row>
    <row r="429" spans="1:9" ht="15.75" customHeight="1">
      <c r="A429" s="103" t="s">
        <v>804</v>
      </c>
      <c r="B429" s="28"/>
      <c r="C429" s="26"/>
      <c r="D429" s="26"/>
      <c r="E429" s="26"/>
      <c r="F429" s="29" t="s">
        <v>253</v>
      </c>
      <c r="G429" s="29"/>
      <c r="H429" s="44">
        <v>5726000</v>
      </c>
      <c r="I429" s="44">
        <v>5726000</v>
      </c>
    </row>
    <row r="430" spans="1:9" ht="15.75" customHeight="1">
      <c r="A430" s="103" t="s">
        <v>805</v>
      </c>
      <c r="B430" s="28"/>
      <c r="C430" s="29"/>
      <c r="D430" s="29"/>
      <c r="E430" s="29"/>
      <c r="F430" s="29"/>
      <c r="G430" s="29"/>
      <c r="H430" s="44"/>
      <c r="I430" s="44"/>
    </row>
    <row r="431" spans="1:9" ht="15.75" customHeight="1">
      <c r="A431" s="103" t="s">
        <v>806</v>
      </c>
      <c r="B431" s="65"/>
      <c r="C431" s="39"/>
      <c r="D431" s="192" t="s">
        <v>254</v>
      </c>
      <c r="E431" s="192"/>
      <c r="F431" s="192"/>
      <c r="G431" s="48">
        <v>29</v>
      </c>
      <c r="H431" s="43">
        <f>H11+H72+H91+H109+H129+H162+H170+H188+H225+H249+H259+H287+H298+H302+H336+H344+H383+H426+H415+H105+H53+H100+H60+H368+H118+H157+H49</f>
        <v>484181501.13</v>
      </c>
      <c r="I431" s="43">
        <f>I11+I72+I91+I109+I129+I162+I170+I188+I225+I249+I259+I287+I298+I302+I336+I344+I383+I426+I415+I105+I53+I100+I60+I368+I118+I157+I49</f>
        <v>607831061.13</v>
      </c>
    </row>
    <row r="432" spans="1:9" ht="15.75" customHeight="1">
      <c r="A432" s="103" t="s">
        <v>807</v>
      </c>
      <c r="B432" s="28"/>
      <c r="C432" s="29"/>
      <c r="D432" s="26"/>
      <c r="E432" s="26"/>
      <c r="F432" s="26"/>
      <c r="G432" s="66"/>
      <c r="H432" s="46"/>
      <c r="I432" s="46"/>
    </row>
    <row r="433" spans="1:9" ht="15.75" customHeight="1">
      <c r="A433" s="103" t="s">
        <v>829</v>
      </c>
      <c r="B433" s="25" t="s">
        <v>23</v>
      </c>
      <c r="C433" s="26"/>
      <c r="D433" s="234" t="s">
        <v>146</v>
      </c>
      <c r="E433" s="234"/>
      <c r="F433" s="234"/>
      <c r="G433" s="29"/>
      <c r="H433" s="44">
        <f>H12+H73+H130+H171+H189+H260+H303+H345+H384+H369+H226</f>
        <v>124545001</v>
      </c>
      <c r="I433" s="44">
        <f>I12+I73+I130+I171+I189+I260+I303+I345+I384+I369+I226</f>
        <v>124566875</v>
      </c>
    </row>
    <row r="434" spans="1:9" ht="15.75" customHeight="1">
      <c r="A434" s="103" t="s">
        <v>830</v>
      </c>
      <c r="B434" s="25" t="s">
        <v>25</v>
      </c>
      <c r="C434" s="26"/>
      <c r="D434" s="234" t="s">
        <v>162</v>
      </c>
      <c r="E434" s="234"/>
      <c r="F434" s="234"/>
      <c r="G434" s="29"/>
      <c r="H434" s="44">
        <f>H20+H78+H136+H176+H201+H267+H313+H351+H390+H372+H231</f>
        <v>16509465.13</v>
      </c>
      <c r="I434" s="44">
        <f>I20+I78+I136+I176+I201+I267+I313+I351+I390+I372+I231</f>
        <v>16509465.13</v>
      </c>
    </row>
    <row r="435" spans="1:9" ht="15.75" customHeight="1">
      <c r="A435" s="103" t="s">
        <v>831</v>
      </c>
      <c r="B435" s="25" t="s">
        <v>27</v>
      </c>
      <c r="C435" s="26"/>
      <c r="D435" s="234" t="s">
        <v>28</v>
      </c>
      <c r="E435" s="234"/>
      <c r="F435" s="234"/>
      <c r="G435" s="29"/>
      <c r="H435" s="44">
        <f>H23+H81+H92+H110+H139+H163+H179+H204+H234+H250+H270+H288+H316+H337+H354+H393+H416+H119+H374</f>
        <v>196682814</v>
      </c>
      <c r="I435" s="44">
        <f>I23+I81+I92+I110+I139+I163+I179+I204+I234+I250+I270+I288+I316+I337+I354+I393+I416+I119+I374</f>
        <v>198188088</v>
      </c>
    </row>
    <row r="436" spans="1:9" ht="15.75" customHeight="1">
      <c r="A436" s="103" t="s">
        <v>832</v>
      </c>
      <c r="B436" s="25" t="s">
        <v>29</v>
      </c>
      <c r="C436" s="29"/>
      <c r="D436" s="234" t="s">
        <v>248</v>
      </c>
      <c r="E436" s="234"/>
      <c r="F436" s="234"/>
      <c r="G436" s="29"/>
      <c r="H436" s="44">
        <f>H428</f>
        <v>5726000</v>
      </c>
      <c r="I436" s="44">
        <f>I428</f>
        <v>5726000</v>
      </c>
    </row>
    <row r="437" spans="1:9" ht="15.75" customHeight="1">
      <c r="A437" s="103" t="s">
        <v>833</v>
      </c>
      <c r="B437" s="25" t="s">
        <v>31</v>
      </c>
      <c r="C437" s="26"/>
      <c r="D437" s="234" t="s">
        <v>32</v>
      </c>
      <c r="E437" s="234"/>
      <c r="F437" s="234"/>
      <c r="G437" s="67"/>
      <c r="H437" s="44">
        <f>H39+H246+H256+H299+H101+H61+H106+H54+H50</f>
        <v>116548211</v>
      </c>
      <c r="I437" s="44">
        <f>I39+I246+I256+I299+I101+I61+I106+I54+I50</f>
        <v>122310936</v>
      </c>
    </row>
    <row r="438" spans="1:9" ht="15.75" customHeight="1">
      <c r="A438" s="103" t="s">
        <v>834</v>
      </c>
      <c r="B438" s="25" t="s">
        <v>34</v>
      </c>
      <c r="C438" s="26"/>
      <c r="D438" s="234" t="s">
        <v>35</v>
      </c>
      <c r="E438" s="234"/>
      <c r="F438" s="234"/>
      <c r="G438" s="29"/>
      <c r="H438" s="44">
        <f>H44+H410</f>
        <v>0</v>
      </c>
      <c r="I438" s="44">
        <f>I217+I331</f>
        <v>114709386</v>
      </c>
    </row>
    <row r="439" spans="1:9" ht="15.75" customHeight="1">
      <c r="A439" s="103" t="s">
        <v>835</v>
      </c>
      <c r="B439" s="25" t="s">
        <v>36</v>
      </c>
      <c r="C439" s="26"/>
      <c r="D439" s="234" t="s">
        <v>255</v>
      </c>
      <c r="E439" s="234"/>
      <c r="F439" s="234"/>
      <c r="G439" s="29"/>
      <c r="H439" s="44">
        <f>H158+H221</f>
        <v>21164140</v>
      </c>
      <c r="I439" s="44">
        <f>I158+I221</f>
        <v>21299140</v>
      </c>
    </row>
    <row r="440" spans="1:9" ht="15.75" customHeight="1">
      <c r="A440" s="103" t="s">
        <v>836</v>
      </c>
      <c r="B440" s="25" t="s">
        <v>38</v>
      </c>
      <c r="C440" s="26"/>
      <c r="D440" s="234" t="s">
        <v>39</v>
      </c>
      <c r="E440" s="234"/>
      <c r="F440" s="234"/>
      <c r="G440" s="67"/>
      <c r="H440" s="44"/>
      <c r="I440" s="44"/>
    </row>
    <row r="441" spans="1:9" ht="15.75" customHeight="1">
      <c r="A441" s="103" t="s">
        <v>837</v>
      </c>
      <c r="B441" s="25" t="s">
        <v>41</v>
      </c>
      <c r="C441" s="26"/>
      <c r="D441" s="234" t="s">
        <v>40</v>
      </c>
      <c r="E441" s="234"/>
      <c r="F441" s="234"/>
      <c r="G441" s="29"/>
      <c r="H441" s="44">
        <f>H56</f>
        <v>3005870</v>
      </c>
      <c r="I441" s="44">
        <f>I56</f>
        <v>4521171</v>
      </c>
    </row>
    <row r="442" spans="1:9" ht="15.75" customHeight="1" thickBot="1">
      <c r="A442" s="103" t="s">
        <v>848</v>
      </c>
      <c r="B442" s="99"/>
      <c r="C442" s="100"/>
      <c r="D442" s="233" t="s">
        <v>254</v>
      </c>
      <c r="E442" s="233"/>
      <c r="F442" s="233"/>
      <c r="G442" s="100"/>
      <c r="H442" s="101">
        <f>SUM(H433:H441)</f>
        <v>484181501.13</v>
      </c>
      <c r="I442" s="101">
        <f>SUM(I433:I441)</f>
        <v>607831061.13</v>
      </c>
    </row>
  </sheetData>
  <sheetProtection selectLockedCells="1" selectUnlockedCells="1"/>
  <mergeCells count="391">
    <mergeCell ref="A1:I1"/>
    <mergeCell ref="A2:I2"/>
    <mergeCell ref="B8:F8"/>
    <mergeCell ref="A9:A10"/>
    <mergeCell ref="I9:I10"/>
    <mergeCell ref="A4:I4"/>
    <mergeCell ref="A5:I5"/>
    <mergeCell ref="A6:I6"/>
    <mergeCell ref="B9:F10"/>
    <mergeCell ref="G9:G10"/>
    <mergeCell ref="E264:F264"/>
    <mergeCell ref="D260:F260"/>
    <mergeCell ref="E261:F261"/>
    <mergeCell ref="E262:F262"/>
    <mergeCell ref="E263:F263"/>
    <mergeCell ref="E195:F195"/>
    <mergeCell ref="E203:F203"/>
    <mergeCell ref="E196:F196"/>
    <mergeCell ref="E197:F197"/>
    <mergeCell ref="E198:F198"/>
    <mergeCell ref="E199:F199"/>
    <mergeCell ref="D201:F201"/>
    <mergeCell ref="E202:F202"/>
    <mergeCell ref="E200:F200"/>
    <mergeCell ref="B188:F188"/>
    <mergeCell ref="D189:F189"/>
    <mergeCell ref="E190:F190"/>
    <mergeCell ref="E191:F191"/>
    <mergeCell ref="E192:F192"/>
    <mergeCell ref="E193:F193"/>
    <mergeCell ref="E194:F194"/>
    <mergeCell ref="E174:F174"/>
    <mergeCell ref="E182:F182"/>
    <mergeCell ref="E183:F183"/>
    <mergeCell ref="E184:F184"/>
    <mergeCell ref="E185:F185"/>
    <mergeCell ref="E186:F186"/>
    <mergeCell ref="E168:F168"/>
    <mergeCell ref="D176:F176"/>
    <mergeCell ref="E177:F177"/>
    <mergeCell ref="E178:F178"/>
    <mergeCell ref="E180:F180"/>
    <mergeCell ref="E181:F181"/>
    <mergeCell ref="B170:F170"/>
    <mergeCell ref="D171:F171"/>
    <mergeCell ref="E172:F172"/>
    <mergeCell ref="E173:F173"/>
    <mergeCell ref="E151:F151"/>
    <mergeCell ref="E160:F160"/>
    <mergeCell ref="D158:F158"/>
    <mergeCell ref="B162:F162"/>
    <mergeCell ref="E175:F175"/>
    <mergeCell ref="D163:F163"/>
    <mergeCell ref="E164:F164"/>
    <mergeCell ref="E165:F165"/>
    <mergeCell ref="E166:F166"/>
    <mergeCell ref="E167:F167"/>
    <mergeCell ref="E146:F146"/>
    <mergeCell ref="E153:F153"/>
    <mergeCell ref="E154:F154"/>
    <mergeCell ref="E155:F155"/>
    <mergeCell ref="B157:F157"/>
    <mergeCell ref="E159:F159"/>
    <mergeCell ref="E147:F147"/>
    <mergeCell ref="E148:F148"/>
    <mergeCell ref="E149:F149"/>
    <mergeCell ref="E150:F150"/>
    <mergeCell ref="E137:F137"/>
    <mergeCell ref="E138:F138"/>
    <mergeCell ref="D139:F139"/>
    <mergeCell ref="E140:F140"/>
    <mergeCell ref="E152:F152"/>
    <mergeCell ref="E141:F141"/>
    <mergeCell ref="E142:F142"/>
    <mergeCell ref="E143:F143"/>
    <mergeCell ref="E144:F144"/>
    <mergeCell ref="E145:F145"/>
    <mergeCell ref="E131:F131"/>
    <mergeCell ref="E132:F132"/>
    <mergeCell ref="E133:F133"/>
    <mergeCell ref="E134:F134"/>
    <mergeCell ref="E135:F135"/>
    <mergeCell ref="D136:F136"/>
    <mergeCell ref="E124:F124"/>
    <mergeCell ref="E125:F125"/>
    <mergeCell ref="E126:F126"/>
    <mergeCell ref="E127:F127"/>
    <mergeCell ref="D130:F130"/>
    <mergeCell ref="B129:F129"/>
    <mergeCell ref="B118:F118"/>
    <mergeCell ref="D119:F119"/>
    <mergeCell ref="E120:F120"/>
    <mergeCell ref="E121:F121"/>
    <mergeCell ref="E122:F122"/>
    <mergeCell ref="E123:F123"/>
    <mergeCell ref="E111:F111"/>
    <mergeCell ref="E112:F112"/>
    <mergeCell ref="E113:F113"/>
    <mergeCell ref="E114:F114"/>
    <mergeCell ref="E115:F115"/>
    <mergeCell ref="E116:F116"/>
    <mergeCell ref="E102:F102"/>
    <mergeCell ref="B105:F105"/>
    <mergeCell ref="D106:F106"/>
    <mergeCell ref="E107:F107"/>
    <mergeCell ref="B109:F109"/>
    <mergeCell ref="D110:F110"/>
    <mergeCell ref="E95:F95"/>
    <mergeCell ref="E96:F96"/>
    <mergeCell ref="E97:F97"/>
    <mergeCell ref="E98:F98"/>
    <mergeCell ref="B100:F100"/>
    <mergeCell ref="D101:F101"/>
    <mergeCell ref="E88:F88"/>
    <mergeCell ref="E89:F89"/>
    <mergeCell ref="B91:F91"/>
    <mergeCell ref="D92:F92"/>
    <mergeCell ref="E93:F93"/>
    <mergeCell ref="E94:F94"/>
    <mergeCell ref="E82:F82"/>
    <mergeCell ref="E83:F83"/>
    <mergeCell ref="E84:F84"/>
    <mergeCell ref="E85:F85"/>
    <mergeCell ref="E86:F86"/>
    <mergeCell ref="E87:F87"/>
    <mergeCell ref="E76:F76"/>
    <mergeCell ref="E77:F77"/>
    <mergeCell ref="D78:F78"/>
    <mergeCell ref="E79:F79"/>
    <mergeCell ref="E80:F80"/>
    <mergeCell ref="D81:F81"/>
    <mergeCell ref="E69:F69"/>
    <mergeCell ref="E70:F70"/>
    <mergeCell ref="B72:F72"/>
    <mergeCell ref="D73:F73"/>
    <mergeCell ref="E74:F74"/>
    <mergeCell ref="E75:F75"/>
    <mergeCell ref="E67:F67"/>
    <mergeCell ref="E68:F68"/>
    <mergeCell ref="E63:F63"/>
    <mergeCell ref="E65:F65"/>
    <mergeCell ref="E64:F64"/>
    <mergeCell ref="E66:F66"/>
    <mergeCell ref="B53:F53"/>
    <mergeCell ref="D54:F54"/>
    <mergeCell ref="D56:F56"/>
    <mergeCell ref="B60:F60"/>
    <mergeCell ref="D61:F61"/>
    <mergeCell ref="E62:F62"/>
    <mergeCell ref="D39:F39"/>
    <mergeCell ref="E40:F40"/>
    <mergeCell ref="E37:F37"/>
    <mergeCell ref="E43:F43"/>
    <mergeCell ref="B49:F49"/>
    <mergeCell ref="D50:F50"/>
    <mergeCell ref="E32:F32"/>
    <mergeCell ref="E33:F33"/>
    <mergeCell ref="E34:F34"/>
    <mergeCell ref="E35:F35"/>
    <mergeCell ref="E36:F36"/>
    <mergeCell ref="E38:F38"/>
    <mergeCell ref="E26:F26"/>
    <mergeCell ref="E27:F27"/>
    <mergeCell ref="E28:F28"/>
    <mergeCell ref="E29:F29"/>
    <mergeCell ref="E30:F30"/>
    <mergeCell ref="E31:F31"/>
    <mergeCell ref="B11:F11"/>
    <mergeCell ref="E51:F51"/>
    <mergeCell ref="D12:F12"/>
    <mergeCell ref="E13:F13"/>
    <mergeCell ref="E14:F14"/>
    <mergeCell ref="E19:F19"/>
    <mergeCell ref="E22:F22"/>
    <mergeCell ref="D23:F23"/>
    <mergeCell ref="E24:F24"/>
    <mergeCell ref="E25:F25"/>
    <mergeCell ref="D438:F438"/>
    <mergeCell ref="H9:H10"/>
    <mergeCell ref="D204:F204"/>
    <mergeCell ref="E205:F205"/>
    <mergeCell ref="D20:F20"/>
    <mergeCell ref="E21:F21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B225:F225"/>
    <mergeCell ref="D221:F221"/>
    <mergeCell ref="E222:F222"/>
    <mergeCell ref="E223:F223"/>
    <mergeCell ref="D226:F226"/>
    <mergeCell ref="D217:F217"/>
    <mergeCell ref="E218:F218"/>
    <mergeCell ref="E220:F220"/>
    <mergeCell ref="E219:F219"/>
    <mergeCell ref="E227:F227"/>
    <mergeCell ref="E228:F228"/>
    <mergeCell ref="D231:F231"/>
    <mergeCell ref="E232:F232"/>
    <mergeCell ref="D234:F234"/>
    <mergeCell ref="E229:F229"/>
    <mergeCell ref="E230:F230"/>
    <mergeCell ref="E233:F233"/>
    <mergeCell ref="E235:F235"/>
    <mergeCell ref="E236:F236"/>
    <mergeCell ref="E237:F237"/>
    <mergeCell ref="E238:F238"/>
    <mergeCell ref="E239:F239"/>
    <mergeCell ref="E240:F240"/>
    <mergeCell ref="E247:F247"/>
    <mergeCell ref="B249:F249"/>
    <mergeCell ref="D250:F250"/>
    <mergeCell ref="E251:F251"/>
    <mergeCell ref="E241:F241"/>
    <mergeCell ref="E242:F242"/>
    <mergeCell ref="E243:F243"/>
    <mergeCell ref="E244:F244"/>
    <mergeCell ref="E245:F245"/>
    <mergeCell ref="D246:F246"/>
    <mergeCell ref="D267:F267"/>
    <mergeCell ref="E268:F268"/>
    <mergeCell ref="E269:F269"/>
    <mergeCell ref="D270:F270"/>
    <mergeCell ref="E271:F271"/>
    <mergeCell ref="E252:F252"/>
    <mergeCell ref="E253:F253"/>
    <mergeCell ref="E265:F265"/>
    <mergeCell ref="E266:F266"/>
    <mergeCell ref="B259:F259"/>
    <mergeCell ref="E272:F272"/>
    <mergeCell ref="E273:F273"/>
    <mergeCell ref="E274:F274"/>
    <mergeCell ref="E275:F275"/>
    <mergeCell ref="E276:F276"/>
    <mergeCell ref="E277:F277"/>
    <mergeCell ref="E284:F284"/>
    <mergeCell ref="E285:F285"/>
    <mergeCell ref="B287:F287"/>
    <mergeCell ref="E278:F278"/>
    <mergeCell ref="E279:F279"/>
    <mergeCell ref="E280:F280"/>
    <mergeCell ref="E281:F281"/>
    <mergeCell ref="E282:F282"/>
    <mergeCell ref="E283:F283"/>
    <mergeCell ref="D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B298:F298"/>
    <mergeCell ref="D299:F299"/>
    <mergeCell ref="E300:F300"/>
    <mergeCell ref="B302:F302"/>
    <mergeCell ref="D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D313:F313"/>
    <mergeCell ref="E314:F314"/>
    <mergeCell ref="D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B336:F336"/>
    <mergeCell ref="D337:F337"/>
    <mergeCell ref="D331:F331"/>
    <mergeCell ref="E332:F332"/>
    <mergeCell ref="E333:F333"/>
    <mergeCell ref="E334:F334"/>
    <mergeCell ref="E338:F338"/>
    <mergeCell ref="E339:F339"/>
    <mergeCell ref="E341:F341"/>
    <mergeCell ref="E342:F342"/>
    <mergeCell ref="B344:F344"/>
    <mergeCell ref="D345:F345"/>
    <mergeCell ref="E346:F346"/>
    <mergeCell ref="E347:F347"/>
    <mergeCell ref="E348:F348"/>
    <mergeCell ref="E349:F349"/>
    <mergeCell ref="E350:F350"/>
    <mergeCell ref="D351:F351"/>
    <mergeCell ref="E352:F352"/>
    <mergeCell ref="E353:F353"/>
    <mergeCell ref="D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B368:F368"/>
    <mergeCell ref="D369:F369"/>
    <mergeCell ref="E370:F370"/>
    <mergeCell ref="E377:F377"/>
    <mergeCell ref="E380:F380"/>
    <mergeCell ref="E381:F381"/>
    <mergeCell ref="E371:F371"/>
    <mergeCell ref="D372:F372"/>
    <mergeCell ref="E373:F373"/>
    <mergeCell ref="D374:F374"/>
    <mergeCell ref="E375:F375"/>
    <mergeCell ref="E376:F376"/>
    <mergeCell ref="B383:F383"/>
    <mergeCell ref="D384:F384"/>
    <mergeCell ref="E385:F385"/>
    <mergeCell ref="E386:F386"/>
    <mergeCell ref="E387:F387"/>
    <mergeCell ref="E388:F388"/>
    <mergeCell ref="E389:F389"/>
    <mergeCell ref="D390:F390"/>
    <mergeCell ref="E391:F391"/>
    <mergeCell ref="E392:F392"/>
    <mergeCell ref="D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18:F418"/>
    <mergeCell ref="D420:F420"/>
    <mergeCell ref="E421:F421"/>
    <mergeCell ref="E407:F407"/>
    <mergeCell ref="E408:F408"/>
    <mergeCell ref="D410:F410"/>
    <mergeCell ref="E411:F411"/>
    <mergeCell ref="E412:F412"/>
    <mergeCell ref="E413:F413"/>
    <mergeCell ref="E409:F409"/>
    <mergeCell ref="D441:F441"/>
    <mergeCell ref="D378:F378"/>
    <mergeCell ref="E379:F379"/>
    <mergeCell ref="E423:F423"/>
    <mergeCell ref="E424:F424"/>
    <mergeCell ref="B426:F426"/>
    <mergeCell ref="D427:F427"/>
    <mergeCell ref="B415:F415"/>
    <mergeCell ref="D416:F416"/>
    <mergeCell ref="E417:F417"/>
    <mergeCell ref="D442:F442"/>
    <mergeCell ref="E428:F428"/>
    <mergeCell ref="D431:F431"/>
    <mergeCell ref="D433:F433"/>
    <mergeCell ref="D434:F434"/>
    <mergeCell ref="D435:F435"/>
    <mergeCell ref="D436:F436"/>
    <mergeCell ref="D437:F437"/>
    <mergeCell ref="D440:F440"/>
    <mergeCell ref="D439:F439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1" r:id="rId1"/>
  <headerFooter alignWithMargins="0">
    <oddFooter>&amp;C&amp;P. oldal, összesen: &amp;N</oddFooter>
  </headerFooter>
  <rowBreaks count="4" manualBreakCount="4">
    <brk id="104" max="8" man="1"/>
    <brk id="187" max="8" man="1"/>
    <brk id="286" max="8" man="1"/>
    <brk id="38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60" zoomScalePageLayoutView="0" workbookViewId="0" topLeftCell="A1">
      <selection activeCell="D44" sqref="D44"/>
    </sheetView>
  </sheetViews>
  <sheetFormatPr defaultColWidth="11.57421875" defaultRowHeight="12.75"/>
  <cols>
    <col min="1" max="1" width="7.28125" style="0" customWidth="1"/>
    <col min="2" max="2" width="42.7109375" style="0" customWidth="1"/>
    <col min="3" max="4" width="13.28125" style="0" customWidth="1"/>
    <col min="5" max="5" width="9.140625" style="0" customWidth="1"/>
    <col min="6" max="6" width="14.00390625" style="0" bestFit="1" customWidth="1"/>
    <col min="7" max="253" width="9.140625" style="0" customWidth="1"/>
  </cols>
  <sheetData>
    <row r="1" spans="2:6" ht="15.75">
      <c r="B1" s="227" t="s">
        <v>361</v>
      </c>
      <c r="C1" s="227"/>
      <c r="D1" s="227"/>
      <c r="E1" s="227"/>
      <c r="F1" s="227"/>
    </row>
    <row r="2" spans="2:6" ht="15.75">
      <c r="B2" s="227" t="s">
        <v>849</v>
      </c>
      <c r="C2" s="227"/>
      <c r="D2" s="227"/>
      <c r="E2" s="227"/>
      <c r="F2" s="227"/>
    </row>
    <row r="3" spans="2:6" ht="15.75">
      <c r="B3" s="83"/>
      <c r="C3" s="83"/>
      <c r="D3" s="83"/>
      <c r="E3" s="83"/>
      <c r="F3" s="83"/>
    </row>
    <row r="4" spans="2:6" ht="15.75">
      <c r="B4" s="214" t="s">
        <v>0</v>
      </c>
      <c r="C4" s="214"/>
      <c r="D4" s="214"/>
      <c r="E4" s="214"/>
      <c r="F4" s="214"/>
    </row>
    <row r="5" spans="2:6" ht="15.75">
      <c r="B5" s="214" t="s">
        <v>815</v>
      </c>
      <c r="C5" s="214"/>
      <c r="D5" s="214"/>
      <c r="E5" s="214"/>
      <c r="F5" s="214"/>
    </row>
    <row r="6" spans="2:6" ht="15.75">
      <c r="B6" s="214" t="s">
        <v>128</v>
      </c>
      <c r="C6" s="214"/>
      <c r="D6" s="214"/>
      <c r="E6" s="214"/>
      <c r="F6" s="214"/>
    </row>
    <row r="7" spans="2:6" ht="16.5" thickBot="1">
      <c r="B7" s="9"/>
      <c r="C7" s="9"/>
      <c r="D7" s="9"/>
      <c r="E7" s="9"/>
      <c r="F7" s="9"/>
    </row>
    <row r="8" spans="1:6" ht="15.75">
      <c r="A8" s="95" t="s">
        <v>380</v>
      </c>
      <c r="B8" s="169" t="s">
        <v>381</v>
      </c>
      <c r="C8" s="96" t="s">
        <v>382</v>
      </c>
      <c r="D8" s="96" t="s">
        <v>383</v>
      </c>
      <c r="E8" s="96" t="s">
        <v>384</v>
      </c>
      <c r="F8" s="170" t="s">
        <v>814</v>
      </c>
    </row>
    <row r="9" spans="1:6" ht="12.75" customHeight="1">
      <c r="A9" s="244" t="s">
        <v>385</v>
      </c>
      <c r="B9" s="245" t="s">
        <v>129</v>
      </c>
      <c r="C9" s="230" t="s">
        <v>130</v>
      </c>
      <c r="D9" s="230" t="s">
        <v>131</v>
      </c>
      <c r="E9" s="230" t="s">
        <v>256</v>
      </c>
      <c r="F9" s="224" t="s">
        <v>133</v>
      </c>
    </row>
    <row r="10" spans="1:6" ht="12.75" customHeight="1">
      <c r="A10" s="244"/>
      <c r="B10" s="245"/>
      <c r="C10" s="230"/>
      <c r="D10" s="230"/>
      <c r="E10" s="230"/>
      <c r="F10" s="224"/>
    </row>
    <row r="11" spans="1:6" ht="12.75" customHeight="1">
      <c r="A11" s="244"/>
      <c r="B11" s="245"/>
      <c r="C11" s="230"/>
      <c r="D11" s="230"/>
      <c r="E11" s="230"/>
      <c r="F11" s="224"/>
    </row>
    <row r="12" spans="1:6" ht="15" customHeight="1">
      <c r="A12" s="244"/>
      <c r="B12" s="245"/>
      <c r="C12" s="230"/>
      <c r="D12" s="230"/>
      <c r="E12" s="230"/>
      <c r="F12" s="224"/>
    </row>
    <row r="13" spans="1:6" ht="15.75">
      <c r="A13" s="171" t="s">
        <v>386</v>
      </c>
      <c r="B13" s="167" t="s">
        <v>257</v>
      </c>
      <c r="C13" s="163">
        <f>'5.kiadás'!I11</f>
        <v>58388173</v>
      </c>
      <c r="D13" s="55"/>
      <c r="E13" s="163"/>
      <c r="F13" s="172">
        <f aca="true" t="shared" si="0" ref="F13:F48">SUM(C13:E13)</f>
        <v>58388173</v>
      </c>
    </row>
    <row r="14" spans="1:6" ht="15.75">
      <c r="A14" s="171" t="s">
        <v>387</v>
      </c>
      <c r="B14" s="167" t="s">
        <v>258</v>
      </c>
      <c r="C14" s="163">
        <f>'5.kiadás'!I49</f>
        <v>8214258</v>
      </c>
      <c r="D14" s="55"/>
      <c r="E14" s="163"/>
      <c r="F14" s="172">
        <f t="shared" si="0"/>
        <v>8214258</v>
      </c>
    </row>
    <row r="15" spans="1:6" ht="15.75">
      <c r="A15" s="171" t="s">
        <v>388</v>
      </c>
      <c r="B15" s="167" t="s">
        <v>202</v>
      </c>
      <c r="C15" s="49">
        <f>'5.kiadás'!I53</f>
        <v>5150171</v>
      </c>
      <c r="D15" s="55"/>
      <c r="E15" s="163"/>
      <c r="F15" s="172">
        <f t="shared" si="0"/>
        <v>5150171</v>
      </c>
    </row>
    <row r="16" spans="1:6" ht="15.75">
      <c r="A16" s="171" t="s">
        <v>389</v>
      </c>
      <c r="B16" s="167" t="s">
        <v>259</v>
      </c>
      <c r="C16" s="49">
        <f>'5.kiadás'!I60</f>
        <v>81774153</v>
      </c>
      <c r="D16" s="55"/>
      <c r="E16" s="163"/>
      <c r="F16" s="172">
        <f t="shared" si="0"/>
        <v>81774153</v>
      </c>
    </row>
    <row r="17" spans="1:6" ht="15.75">
      <c r="A17" s="171" t="s">
        <v>390</v>
      </c>
      <c r="B17" s="168" t="s">
        <v>136</v>
      </c>
      <c r="C17" s="49">
        <f>'5.kiadás'!I72</f>
        <v>2904030</v>
      </c>
      <c r="D17" s="163"/>
      <c r="E17" s="163"/>
      <c r="F17" s="172">
        <f t="shared" si="0"/>
        <v>2904030</v>
      </c>
    </row>
    <row r="18" spans="1:6" ht="15.75">
      <c r="A18" s="171" t="s">
        <v>391</v>
      </c>
      <c r="B18" s="167" t="s">
        <v>260</v>
      </c>
      <c r="C18" s="49">
        <f>'5.kiadás'!I91</f>
        <v>67127814</v>
      </c>
      <c r="D18" s="163"/>
      <c r="E18" s="163"/>
      <c r="F18" s="172">
        <f t="shared" si="0"/>
        <v>67127814</v>
      </c>
    </row>
    <row r="19" spans="1:6" ht="15.75">
      <c r="A19" s="171" t="s">
        <v>392</v>
      </c>
      <c r="B19" s="167" t="s">
        <v>261</v>
      </c>
      <c r="C19" s="49"/>
      <c r="D19" s="163">
        <f>'5.kiadás'!I100</f>
        <v>500000</v>
      </c>
      <c r="E19" s="163"/>
      <c r="F19" s="172">
        <f t="shared" si="0"/>
        <v>500000</v>
      </c>
    </row>
    <row r="20" spans="1:6" ht="15.75">
      <c r="A20" s="171" t="s">
        <v>393</v>
      </c>
      <c r="B20" s="167" t="s">
        <v>262</v>
      </c>
      <c r="C20" s="49"/>
      <c r="D20" s="163">
        <f>'5.kiadás'!I105</f>
        <v>300000</v>
      </c>
      <c r="E20" s="163"/>
      <c r="F20" s="172">
        <f t="shared" si="0"/>
        <v>300000</v>
      </c>
    </row>
    <row r="21" spans="1:6" ht="15.75">
      <c r="A21" s="171" t="s">
        <v>394</v>
      </c>
      <c r="B21" s="168" t="s">
        <v>103</v>
      </c>
      <c r="C21" s="49"/>
      <c r="D21" s="163"/>
      <c r="E21" s="163"/>
      <c r="F21" s="172">
        <f t="shared" si="0"/>
        <v>0</v>
      </c>
    </row>
    <row r="22" spans="1:6" ht="15.75">
      <c r="A22" s="171" t="s">
        <v>395</v>
      </c>
      <c r="B22" s="168" t="s">
        <v>326</v>
      </c>
      <c r="C22" s="49"/>
      <c r="D22" s="163"/>
      <c r="E22" s="163"/>
      <c r="F22" s="172">
        <f t="shared" si="0"/>
        <v>0</v>
      </c>
    </row>
    <row r="23" spans="1:6" ht="15.75">
      <c r="A23" s="171" t="s">
        <v>396</v>
      </c>
      <c r="B23" s="167" t="s">
        <v>224</v>
      </c>
      <c r="C23" s="49">
        <f>'5.kiadás'!I109</f>
        <v>1900000</v>
      </c>
      <c r="D23" s="163"/>
      <c r="E23" s="163"/>
      <c r="F23" s="172">
        <f t="shared" si="0"/>
        <v>1900000</v>
      </c>
    </row>
    <row r="24" spans="1:6" ht="15.75">
      <c r="A24" s="171" t="s">
        <v>397</v>
      </c>
      <c r="B24" s="167" t="s">
        <v>306</v>
      </c>
      <c r="C24" s="49"/>
      <c r="D24" s="163">
        <f>'5.kiadás'!I118</f>
        <v>1750000</v>
      </c>
      <c r="E24" s="163"/>
      <c r="F24" s="172"/>
    </row>
    <row r="25" spans="1:6" ht="15.75">
      <c r="A25" s="171" t="s">
        <v>398</v>
      </c>
      <c r="B25" s="167" t="s">
        <v>104</v>
      </c>
      <c r="C25" s="55"/>
      <c r="D25" s="163">
        <f>'5.kiadás'!I129</f>
        <v>6023880</v>
      </c>
      <c r="E25" s="163"/>
      <c r="F25" s="172">
        <f t="shared" si="0"/>
        <v>6023880</v>
      </c>
    </row>
    <row r="26" spans="1:6" ht="15.75">
      <c r="A26" s="171" t="s">
        <v>399</v>
      </c>
      <c r="B26" s="168" t="s">
        <v>263</v>
      </c>
      <c r="C26" s="49"/>
      <c r="D26" s="163"/>
      <c r="E26" s="163"/>
      <c r="F26" s="172">
        <f t="shared" si="0"/>
        <v>0</v>
      </c>
    </row>
    <row r="27" spans="1:6" ht="15.75">
      <c r="A27" s="171" t="s">
        <v>400</v>
      </c>
      <c r="B27" s="168" t="s">
        <v>320</v>
      </c>
      <c r="C27" s="49"/>
      <c r="D27" s="163">
        <f>'5.kiadás'!I157</f>
        <v>20664140</v>
      </c>
      <c r="E27" s="163"/>
      <c r="F27" s="172">
        <f t="shared" si="0"/>
        <v>20664140</v>
      </c>
    </row>
    <row r="28" spans="1:6" ht="15.75">
      <c r="A28" s="171" t="s">
        <v>401</v>
      </c>
      <c r="B28" s="168" t="s">
        <v>232</v>
      </c>
      <c r="C28" s="49">
        <f>'5.kiadás'!I162</f>
        <v>16500000</v>
      </c>
      <c r="D28" s="163"/>
      <c r="E28" s="163"/>
      <c r="F28" s="172">
        <f t="shared" si="0"/>
        <v>16500000</v>
      </c>
    </row>
    <row r="29" spans="1:6" ht="15.75">
      <c r="A29" s="171" t="s">
        <v>402</v>
      </c>
      <c r="B29" s="168" t="s">
        <v>233</v>
      </c>
      <c r="C29" s="49">
        <f>'5.kiadás'!I170</f>
        <v>8516776</v>
      </c>
      <c r="D29" s="163"/>
      <c r="E29" s="163"/>
      <c r="F29" s="172">
        <f t="shared" si="0"/>
        <v>8516776</v>
      </c>
    </row>
    <row r="30" spans="1:6" ht="15.75">
      <c r="A30" s="171" t="s">
        <v>403</v>
      </c>
      <c r="B30" s="167" t="s">
        <v>107</v>
      </c>
      <c r="C30" s="49">
        <f>'5.kiadás'!I188</f>
        <v>93782607</v>
      </c>
      <c r="D30" s="163"/>
      <c r="E30" s="163"/>
      <c r="F30" s="172">
        <f t="shared" si="0"/>
        <v>93782607</v>
      </c>
    </row>
    <row r="31" spans="1:6" ht="15.75">
      <c r="A31" s="171" t="s">
        <v>404</v>
      </c>
      <c r="B31" s="168" t="s">
        <v>239</v>
      </c>
      <c r="C31" s="49">
        <f>'5.kiadás'!I225</f>
        <v>4599516</v>
      </c>
      <c r="D31" s="163"/>
      <c r="E31" s="163"/>
      <c r="F31" s="172">
        <f t="shared" si="0"/>
        <v>4599516</v>
      </c>
    </row>
    <row r="32" spans="1:6" ht="15.75">
      <c r="A32" s="171" t="s">
        <v>405</v>
      </c>
      <c r="B32" s="168" t="s">
        <v>240</v>
      </c>
      <c r="C32" s="49"/>
      <c r="D32" s="163"/>
      <c r="E32" s="163"/>
      <c r="F32" s="172">
        <f t="shared" si="0"/>
        <v>0</v>
      </c>
    </row>
    <row r="33" spans="1:6" ht="15.75">
      <c r="A33" s="171" t="s">
        <v>406</v>
      </c>
      <c r="B33" s="168" t="s">
        <v>108</v>
      </c>
      <c r="C33" s="49">
        <f>'5.kiadás'!I249</f>
        <v>3190000</v>
      </c>
      <c r="D33" s="163"/>
      <c r="E33" s="163"/>
      <c r="F33" s="172">
        <f t="shared" si="0"/>
        <v>3190000</v>
      </c>
    </row>
    <row r="34" spans="1:6" ht="15.75">
      <c r="A34" s="171" t="s">
        <v>407</v>
      </c>
      <c r="B34" s="168" t="s">
        <v>109</v>
      </c>
      <c r="C34" s="49">
        <f>'5.kiadás'!I259</f>
        <v>11613124.13</v>
      </c>
      <c r="D34" s="163"/>
      <c r="E34" s="163"/>
      <c r="F34" s="172">
        <f t="shared" si="0"/>
        <v>11613124.13</v>
      </c>
    </row>
    <row r="35" spans="1:6" ht="15.75">
      <c r="A35" s="171" t="s">
        <v>408</v>
      </c>
      <c r="B35" s="168" t="s">
        <v>264</v>
      </c>
      <c r="C35" s="55"/>
      <c r="D35" s="163">
        <f>'5.kiadás'!I287</f>
        <v>590000</v>
      </c>
      <c r="E35" s="163"/>
      <c r="F35" s="172">
        <f t="shared" si="0"/>
        <v>590000</v>
      </c>
    </row>
    <row r="36" spans="1:6" ht="15.75">
      <c r="A36" s="171" t="s">
        <v>409</v>
      </c>
      <c r="B36" s="167" t="s">
        <v>265</v>
      </c>
      <c r="C36" s="55"/>
      <c r="D36" s="163">
        <f>'5.kiadás'!I298</f>
        <v>1000000</v>
      </c>
      <c r="E36" s="163"/>
      <c r="F36" s="172">
        <f t="shared" si="0"/>
        <v>1000000</v>
      </c>
    </row>
    <row r="37" spans="1:6" ht="15.75">
      <c r="A37" s="171" t="s">
        <v>410</v>
      </c>
      <c r="B37" s="168" t="s">
        <v>110</v>
      </c>
      <c r="C37" s="55"/>
      <c r="D37" s="163">
        <f>'5.kiadás'!I302</f>
        <v>173012689</v>
      </c>
      <c r="E37" s="163"/>
      <c r="F37" s="172">
        <f t="shared" si="0"/>
        <v>173012689</v>
      </c>
    </row>
    <row r="38" spans="1:6" ht="15.75">
      <c r="A38" s="171" t="s">
        <v>411</v>
      </c>
      <c r="B38" s="168" t="s">
        <v>245</v>
      </c>
      <c r="C38" s="55"/>
      <c r="D38" s="163">
        <f>'5.kiadás'!I336</f>
        <v>530000</v>
      </c>
      <c r="E38" s="163"/>
      <c r="F38" s="172">
        <f t="shared" si="0"/>
        <v>530000</v>
      </c>
    </row>
    <row r="39" spans="1:6" ht="15.75">
      <c r="A39" s="171" t="s">
        <v>412</v>
      </c>
      <c r="B39" s="168" t="s">
        <v>112</v>
      </c>
      <c r="C39" s="55"/>
      <c r="D39" s="163">
        <f>'5.kiadás'!I344</f>
        <v>6482310</v>
      </c>
      <c r="E39" s="163"/>
      <c r="F39" s="172">
        <f t="shared" si="0"/>
        <v>6482310</v>
      </c>
    </row>
    <row r="40" spans="1:6" ht="15.75">
      <c r="A40" s="171" t="s">
        <v>413</v>
      </c>
      <c r="B40" s="168" t="s">
        <v>300</v>
      </c>
      <c r="C40" s="55"/>
      <c r="D40" s="163">
        <f>'5.kiadás'!I368</f>
        <v>1685400</v>
      </c>
      <c r="E40" s="163"/>
      <c r="F40" s="172"/>
    </row>
    <row r="41" spans="1:6" ht="15.75">
      <c r="A41" s="171" t="s">
        <v>414</v>
      </c>
      <c r="B41" s="168" t="s">
        <v>301</v>
      </c>
      <c r="C41" s="55"/>
      <c r="D41" s="163"/>
      <c r="E41" s="163"/>
      <c r="F41" s="172"/>
    </row>
    <row r="42" spans="1:6" ht="15.75">
      <c r="A42" s="171" t="s">
        <v>415</v>
      </c>
      <c r="B42" s="168" t="s">
        <v>142</v>
      </c>
      <c r="C42" s="55"/>
      <c r="D42" s="163">
        <f>'5.kiadás'!I383</f>
        <v>23406020</v>
      </c>
      <c r="E42" s="163"/>
      <c r="F42" s="172">
        <f t="shared" si="0"/>
        <v>23406020</v>
      </c>
    </row>
    <row r="43" spans="1:6" ht="15.75">
      <c r="A43" s="171" t="s">
        <v>416</v>
      </c>
      <c r="B43" s="168" t="s">
        <v>266</v>
      </c>
      <c r="C43" s="55"/>
      <c r="D43" s="163">
        <f>'5.kiadás'!I415</f>
        <v>2500000</v>
      </c>
      <c r="E43" s="163"/>
      <c r="F43" s="172">
        <f t="shared" si="0"/>
        <v>2500000</v>
      </c>
    </row>
    <row r="44" spans="1:6" ht="15.75">
      <c r="A44" s="171" t="s">
        <v>417</v>
      </c>
      <c r="B44" s="168" t="s">
        <v>267</v>
      </c>
      <c r="C44" s="49"/>
      <c r="D44" s="163">
        <v>0</v>
      </c>
      <c r="E44" s="163"/>
      <c r="F44" s="172">
        <f t="shared" si="0"/>
        <v>0</v>
      </c>
    </row>
    <row r="45" spans="1:6" ht="15.75">
      <c r="A45" s="171" t="s">
        <v>418</v>
      </c>
      <c r="B45" s="168" t="s">
        <v>268</v>
      </c>
      <c r="C45" s="49">
        <v>0</v>
      </c>
      <c r="D45" s="163"/>
      <c r="E45" s="163"/>
      <c r="F45" s="172">
        <f t="shared" si="0"/>
        <v>0</v>
      </c>
    </row>
    <row r="46" spans="1:6" ht="15.75">
      <c r="A46" s="171" t="s">
        <v>419</v>
      </c>
      <c r="B46" s="168" t="s">
        <v>269</v>
      </c>
      <c r="C46" s="49"/>
      <c r="D46" s="163">
        <v>0</v>
      </c>
      <c r="E46" s="163"/>
      <c r="F46" s="172">
        <f t="shared" si="0"/>
        <v>0</v>
      </c>
    </row>
    <row r="47" spans="1:6" ht="15.75">
      <c r="A47" s="171" t="s">
        <v>420</v>
      </c>
      <c r="B47" s="168" t="s">
        <v>249</v>
      </c>
      <c r="C47" s="49"/>
      <c r="D47" s="163"/>
      <c r="E47" s="163"/>
      <c r="F47" s="172">
        <f t="shared" si="0"/>
        <v>0</v>
      </c>
    </row>
    <row r="48" spans="1:6" ht="15.75">
      <c r="A48" s="171" t="s">
        <v>421</v>
      </c>
      <c r="B48" s="167" t="s">
        <v>250</v>
      </c>
      <c r="C48" s="49">
        <f>'5.kiadás'!H426</f>
        <v>5726000</v>
      </c>
      <c r="D48" s="163"/>
      <c r="E48" s="163"/>
      <c r="F48" s="172">
        <f t="shared" si="0"/>
        <v>5726000</v>
      </c>
    </row>
    <row r="49" spans="1:6" ht="16.5" thickBot="1">
      <c r="A49" s="173" t="s">
        <v>422</v>
      </c>
      <c r="B49" s="165" t="s">
        <v>254</v>
      </c>
      <c r="C49" s="174">
        <f>SUM(C13:C48)</f>
        <v>369386622.13</v>
      </c>
      <c r="D49" s="174">
        <f>SUM(D13:D48)</f>
        <v>238444439</v>
      </c>
      <c r="E49" s="174">
        <f>SUM(E13:E48)</f>
        <v>0</v>
      </c>
      <c r="F49" s="175">
        <f>SUM(C49:E49)</f>
        <v>607831061.13</v>
      </c>
    </row>
  </sheetData>
  <sheetProtection selectLockedCells="1" selectUnlockedCells="1"/>
  <mergeCells count="11">
    <mergeCell ref="C9:C12"/>
    <mergeCell ref="D9:D12"/>
    <mergeCell ref="E9:E12"/>
    <mergeCell ref="F9:F12"/>
    <mergeCell ref="A9:A12"/>
    <mergeCell ref="B1:F1"/>
    <mergeCell ref="B2:F2"/>
    <mergeCell ref="B4:F4"/>
    <mergeCell ref="B5:F5"/>
    <mergeCell ref="B6:F6"/>
    <mergeCell ref="B9:B12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G26" sqref="G26"/>
    </sheetView>
  </sheetViews>
  <sheetFormatPr defaultColWidth="11.57421875" defaultRowHeight="12.75"/>
  <cols>
    <col min="1" max="1" width="8.00390625" style="0" customWidth="1"/>
    <col min="2" max="2" width="48.8515625" style="0" customWidth="1"/>
    <col min="3" max="3" width="14.421875" style="0" customWidth="1"/>
    <col min="4" max="4" width="13.57421875" style="0" customWidth="1"/>
    <col min="5" max="255" width="9.140625" style="0" customWidth="1"/>
  </cols>
  <sheetData>
    <row r="1" spans="2:4" ht="15.75">
      <c r="B1" s="242" t="s">
        <v>362</v>
      </c>
      <c r="C1" s="242"/>
      <c r="D1" s="242"/>
    </row>
    <row r="2" spans="2:4" ht="15.75">
      <c r="B2" s="242" t="s">
        <v>856</v>
      </c>
      <c r="C2" s="242"/>
      <c r="D2" s="242"/>
    </row>
    <row r="3" ht="15.75">
      <c r="B3" s="83"/>
    </row>
    <row r="4" spans="1:4" ht="15.75">
      <c r="A4" s="214" t="s">
        <v>0</v>
      </c>
      <c r="B4" s="214"/>
      <c r="C4" s="214"/>
      <c r="D4" s="214"/>
    </row>
    <row r="5" spans="1:4" ht="15.75">
      <c r="A5" s="228" t="s">
        <v>816</v>
      </c>
      <c r="B5" s="228"/>
      <c r="C5" s="228"/>
      <c r="D5" s="228"/>
    </row>
    <row r="6" spans="1:4" ht="15.75">
      <c r="A6" s="228" t="s">
        <v>43</v>
      </c>
      <c r="B6" s="228"/>
      <c r="C6" s="228"/>
      <c r="D6" s="228"/>
    </row>
    <row r="7" spans="2:3" ht="16.5" thickBot="1">
      <c r="B7" s="11"/>
      <c r="C7" s="11"/>
    </row>
    <row r="8" spans="1:4" ht="15.75">
      <c r="A8" s="95" t="s">
        <v>380</v>
      </c>
      <c r="B8" s="96" t="s">
        <v>381</v>
      </c>
      <c r="C8" s="170" t="s">
        <v>382</v>
      </c>
      <c r="D8" s="170" t="s">
        <v>383</v>
      </c>
    </row>
    <row r="9" spans="1:4" ht="12.75" customHeight="1">
      <c r="A9" s="197" t="s">
        <v>385</v>
      </c>
      <c r="B9" s="217" t="s">
        <v>270</v>
      </c>
      <c r="C9" s="213" t="s">
        <v>2</v>
      </c>
      <c r="D9" s="213" t="s">
        <v>808</v>
      </c>
    </row>
    <row r="10" spans="1:4" ht="21.75" customHeight="1">
      <c r="A10" s="197"/>
      <c r="B10" s="217"/>
      <c r="C10" s="213"/>
      <c r="D10" s="213"/>
    </row>
    <row r="11" spans="1:4" ht="15.75">
      <c r="A11" s="108" t="s">
        <v>386</v>
      </c>
      <c r="B11" s="47" t="s">
        <v>35</v>
      </c>
      <c r="C11" s="98"/>
      <c r="D11" s="98"/>
    </row>
    <row r="12" spans="1:4" ht="31.5">
      <c r="A12" s="108" t="s">
        <v>387</v>
      </c>
      <c r="B12" s="176" t="s">
        <v>850</v>
      </c>
      <c r="C12" s="133"/>
      <c r="D12" s="133">
        <f>'5.kiadás'!I219</f>
        <v>500000</v>
      </c>
    </row>
    <row r="13" spans="1:4" ht="15.75">
      <c r="A13" s="108" t="s">
        <v>388</v>
      </c>
      <c r="B13" s="176" t="s">
        <v>851</v>
      </c>
      <c r="C13" s="133"/>
      <c r="D13" s="133">
        <f>'5.kiadás'!I333</f>
        <v>53296622</v>
      </c>
    </row>
    <row r="14" spans="1:4" ht="15.75">
      <c r="A14" s="108" t="s">
        <v>389</v>
      </c>
      <c r="B14" s="176" t="s">
        <v>852</v>
      </c>
      <c r="C14" s="133"/>
      <c r="D14" s="133">
        <f>'5.kiadás'!I218</f>
        <v>1039549</v>
      </c>
    </row>
    <row r="15" spans="1:4" ht="15.75">
      <c r="A15" s="108" t="s">
        <v>390</v>
      </c>
      <c r="B15" s="176" t="s">
        <v>853</v>
      </c>
      <c r="C15" s="133"/>
      <c r="D15" s="133">
        <f>'5.kiadás'!I332</f>
        <v>35486178</v>
      </c>
    </row>
    <row r="16" spans="1:4" ht="15.75">
      <c r="A16" s="108" t="s">
        <v>391</v>
      </c>
      <c r="B16" s="21" t="s">
        <v>271</v>
      </c>
      <c r="C16" s="133">
        <f>SUM(C12:C12)</f>
        <v>0</v>
      </c>
      <c r="D16" s="133">
        <f>SUM(D12:D15)</f>
        <v>90322349</v>
      </c>
    </row>
    <row r="17" spans="1:4" ht="15.75">
      <c r="A17" s="108" t="s">
        <v>392</v>
      </c>
      <c r="B17" s="21" t="s">
        <v>272</v>
      </c>
      <c r="C17" s="133">
        <v>0</v>
      </c>
      <c r="D17" s="133">
        <f>'5.kiadás'!I334+'5.kiadás'!I220</f>
        <v>24387037</v>
      </c>
    </row>
    <row r="18" spans="1:4" ht="15.75">
      <c r="A18" s="108" t="s">
        <v>393</v>
      </c>
      <c r="B18" s="177" t="s">
        <v>273</v>
      </c>
      <c r="C18" s="178">
        <f>SUM(C16:C17)</f>
        <v>0</v>
      </c>
      <c r="D18" s="178">
        <f>SUM(D16:D17)</f>
        <v>114709386</v>
      </c>
    </row>
    <row r="19" spans="1:4" ht="15.75">
      <c r="A19" s="108" t="s">
        <v>394</v>
      </c>
      <c r="B19" s="21"/>
      <c r="C19" s="133"/>
      <c r="D19" s="133"/>
    </row>
    <row r="20" spans="1:4" ht="15.75">
      <c r="A20" s="108" t="s">
        <v>395</v>
      </c>
      <c r="B20" s="124" t="s">
        <v>274</v>
      </c>
      <c r="C20" s="134">
        <f>C16+C17</f>
        <v>0</v>
      </c>
      <c r="D20" s="134">
        <f>D16+D17</f>
        <v>114709386</v>
      </c>
    </row>
    <row r="21" spans="1:4" ht="15.75">
      <c r="A21" s="108" t="s">
        <v>396</v>
      </c>
      <c r="B21" s="21"/>
      <c r="C21" s="133"/>
      <c r="D21" s="133"/>
    </row>
    <row r="22" spans="1:4" ht="15.75">
      <c r="A22" s="108" t="s">
        <v>397</v>
      </c>
      <c r="B22" s="47" t="s">
        <v>37</v>
      </c>
      <c r="C22" s="133"/>
      <c r="D22" s="133"/>
    </row>
    <row r="23" spans="1:4" ht="15.75">
      <c r="A23" s="108" t="s">
        <v>398</v>
      </c>
      <c r="B23" s="21" t="s">
        <v>371</v>
      </c>
      <c r="C23" s="133">
        <f>'5.kiadás'!H222</f>
        <v>393700</v>
      </c>
      <c r="D23" s="133">
        <v>0</v>
      </c>
    </row>
    <row r="24" spans="1:4" ht="15.75">
      <c r="A24" s="108" t="s">
        <v>399</v>
      </c>
      <c r="B24" s="21" t="s">
        <v>854</v>
      </c>
      <c r="C24" s="133"/>
      <c r="D24" s="133">
        <f>'5.kiadás'!I222</f>
        <v>500000</v>
      </c>
    </row>
    <row r="25" spans="1:4" ht="15.75">
      <c r="A25" s="108" t="s">
        <v>400</v>
      </c>
      <c r="B25" s="21" t="s">
        <v>370</v>
      </c>
      <c r="C25" s="133">
        <v>11811000</v>
      </c>
      <c r="D25" s="133">
        <v>11811000</v>
      </c>
    </row>
    <row r="26" spans="1:4" ht="15.75">
      <c r="A26" s="108" t="s">
        <v>401</v>
      </c>
      <c r="B26" s="21" t="s">
        <v>341</v>
      </c>
      <c r="C26" s="133">
        <v>4459953</v>
      </c>
      <c r="D26" s="133">
        <v>4459953</v>
      </c>
    </row>
    <row r="27" spans="1:4" ht="15.75">
      <c r="A27" s="108" t="s">
        <v>402</v>
      </c>
      <c r="B27" s="21" t="s">
        <v>275</v>
      </c>
      <c r="C27" s="133">
        <f>SUM(C23:C26)</f>
        <v>16664653</v>
      </c>
      <c r="D27" s="133">
        <f>SUM(D23:D26)</f>
        <v>16770953</v>
      </c>
    </row>
    <row r="28" spans="1:4" ht="15.75">
      <c r="A28" s="108" t="s">
        <v>403</v>
      </c>
      <c r="B28" s="21" t="s">
        <v>276</v>
      </c>
      <c r="C28" s="133">
        <f>'5.kiadás'!H160+'5.kiadás'!H223</f>
        <v>4499487</v>
      </c>
      <c r="D28" s="133">
        <f>'5.kiadás'!I160+'5.kiadás'!I223</f>
        <v>4528187</v>
      </c>
    </row>
    <row r="29" spans="1:4" ht="15.75">
      <c r="A29" s="108" t="s">
        <v>404</v>
      </c>
      <c r="B29" s="124" t="s">
        <v>277</v>
      </c>
      <c r="C29" s="134">
        <f>SUM(C27:C28)</f>
        <v>21164140</v>
      </c>
      <c r="D29" s="134">
        <f>SUM(D27:D28)</f>
        <v>21299140</v>
      </c>
    </row>
    <row r="30" spans="1:4" ht="15.75">
      <c r="A30" s="108" t="s">
        <v>405</v>
      </c>
      <c r="B30" s="21"/>
      <c r="C30" s="133"/>
      <c r="D30" s="133"/>
    </row>
    <row r="31" spans="1:4" ht="15.75">
      <c r="A31" s="108" t="s">
        <v>406</v>
      </c>
      <c r="B31" s="124" t="s">
        <v>278</v>
      </c>
      <c r="C31" s="134">
        <f>C20+C29</f>
        <v>21164140</v>
      </c>
      <c r="D31" s="134">
        <f>D20+D29</f>
        <v>136008526</v>
      </c>
    </row>
    <row r="32" spans="1:4" ht="16.5" thickBot="1">
      <c r="A32" s="113" t="s">
        <v>407</v>
      </c>
      <c r="B32" s="188" t="s">
        <v>279</v>
      </c>
      <c r="C32" s="189">
        <f>C18+C29</f>
        <v>21164140</v>
      </c>
      <c r="D32" s="189">
        <f>D18+D29</f>
        <v>136008526</v>
      </c>
    </row>
  </sheetData>
  <sheetProtection selectLockedCells="1" selectUnlockedCells="1"/>
  <mergeCells count="9">
    <mergeCell ref="A9:A10"/>
    <mergeCell ref="D9:D10"/>
    <mergeCell ref="A4:D4"/>
    <mergeCell ref="A5:D5"/>
    <mergeCell ref="A6:D6"/>
    <mergeCell ref="B1:D1"/>
    <mergeCell ref="C9:C10"/>
    <mergeCell ref="B9:B10"/>
    <mergeCell ref="B2:D2"/>
  </mergeCells>
  <printOptions headings="1"/>
  <pageMargins left="0.7" right="0.7" top="0.75" bottom="0.75" header="0.5118055555555555" footer="0.511805555555555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7.421875" style="0" customWidth="1"/>
    <col min="2" max="2" width="4.57421875" style="1" customWidth="1"/>
    <col min="3" max="3" width="33.140625" style="1" customWidth="1"/>
    <col min="4" max="4" width="13.7109375" style="1" customWidth="1"/>
    <col min="5" max="5" width="13.57421875" style="1" customWidth="1"/>
    <col min="6" max="6" width="15.421875" style="1" customWidth="1"/>
    <col min="7" max="254" width="9.140625" style="1" customWidth="1"/>
  </cols>
  <sheetData>
    <row r="1" spans="2:6" ht="15.75">
      <c r="B1" s="246" t="s">
        <v>373</v>
      </c>
      <c r="C1" s="246"/>
      <c r="D1" s="246"/>
      <c r="E1" s="246"/>
      <c r="F1" s="246"/>
    </row>
    <row r="2" spans="2:6" ht="15.75">
      <c r="B2" s="246" t="s">
        <v>857</v>
      </c>
      <c r="C2" s="246"/>
      <c r="D2" s="246"/>
      <c r="E2" s="246"/>
      <c r="F2" s="246"/>
    </row>
    <row r="3" spans="2:5" ht="15.75">
      <c r="B3" s="2"/>
      <c r="C3" s="2"/>
      <c r="D3" s="2"/>
      <c r="E3" s="2"/>
    </row>
    <row r="4" spans="2:6" ht="15.75">
      <c r="B4" s="247" t="s">
        <v>0</v>
      </c>
      <c r="C4" s="247"/>
      <c r="D4" s="247"/>
      <c r="E4" s="247"/>
      <c r="F4" s="247"/>
    </row>
    <row r="5" spans="2:6" ht="15.75">
      <c r="B5" s="248" t="s">
        <v>817</v>
      </c>
      <c r="C5" s="248"/>
      <c r="D5" s="248"/>
      <c r="E5" s="248"/>
      <c r="F5" s="248"/>
    </row>
    <row r="6" spans="3:5" ht="15.75">
      <c r="C6" s="248"/>
      <c r="D6" s="248"/>
      <c r="E6" s="248"/>
    </row>
    <row r="7" spans="3:5" ht="16.5" thickBot="1">
      <c r="C7" s="19"/>
      <c r="D7" s="19"/>
      <c r="E7" s="19"/>
    </row>
    <row r="8" spans="1:6" ht="15.75">
      <c r="A8" s="95" t="s">
        <v>380</v>
      </c>
      <c r="B8" s="218" t="s">
        <v>381</v>
      </c>
      <c r="C8" s="218"/>
      <c r="D8" s="181" t="s">
        <v>382</v>
      </c>
      <c r="E8" s="181" t="s">
        <v>383</v>
      </c>
      <c r="F8" s="182" t="s">
        <v>384</v>
      </c>
    </row>
    <row r="9" spans="1:254" ht="15.75" customHeight="1">
      <c r="A9" s="197" t="s">
        <v>385</v>
      </c>
      <c r="B9" s="200" t="s">
        <v>1</v>
      </c>
      <c r="C9" s="200"/>
      <c r="D9" s="249" t="s">
        <v>374</v>
      </c>
      <c r="E9" s="249" t="s">
        <v>376</v>
      </c>
      <c r="F9" s="250" t="s">
        <v>375</v>
      </c>
      <c r="IT9"/>
    </row>
    <row r="10" spans="1:254" ht="15.75">
      <c r="A10" s="197"/>
      <c r="B10" s="200"/>
      <c r="C10" s="200"/>
      <c r="D10" s="249"/>
      <c r="E10" s="249"/>
      <c r="F10" s="250" t="s">
        <v>280</v>
      </c>
      <c r="IT10"/>
    </row>
    <row r="11" spans="1:254" ht="15.75">
      <c r="A11" s="102" t="s">
        <v>386</v>
      </c>
      <c r="B11" s="47" t="s">
        <v>4</v>
      </c>
      <c r="C11" s="21" t="s">
        <v>281</v>
      </c>
      <c r="D11" s="179">
        <v>121423656</v>
      </c>
      <c r="E11" s="179">
        <v>123201054</v>
      </c>
      <c r="F11" s="133">
        <f>'1.Mérleg'!E11</f>
        <v>100268349</v>
      </c>
      <c r="IT11"/>
    </row>
    <row r="12" spans="1:254" ht="15.75">
      <c r="A12" s="102" t="s">
        <v>387</v>
      </c>
      <c r="B12" s="47" t="s">
        <v>6</v>
      </c>
      <c r="C12" s="21" t="s">
        <v>7</v>
      </c>
      <c r="D12" s="179">
        <v>105066920</v>
      </c>
      <c r="E12" s="179">
        <v>138797062</v>
      </c>
      <c r="F12" s="133">
        <f>'1.Mérleg'!E12</f>
        <v>112265000</v>
      </c>
      <c r="IT12"/>
    </row>
    <row r="13" spans="1:254" ht="15.75">
      <c r="A13" s="102" t="s">
        <v>388</v>
      </c>
      <c r="B13" s="47" t="s">
        <v>8</v>
      </c>
      <c r="C13" s="21" t="s">
        <v>9</v>
      </c>
      <c r="D13" s="179">
        <v>168858675</v>
      </c>
      <c r="E13" s="179">
        <v>189486595</v>
      </c>
      <c r="F13" s="133">
        <f>'1.Mérleg'!E13</f>
        <v>163134959</v>
      </c>
      <c r="IT13"/>
    </row>
    <row r="14" spans="1:254" ht="15.75">
      <c r="A14" s="102" t="s">
        <v>389</v>
      </c>
      <c r="B14" s="47" t="s">
        <v>10</v>
      </c>
      <c r="C14" s="21" t="s">
        <v>11</v>
      </c>
      <c r="D14" s="69">
        <v>1625125</v>
      </c>
      <c r="E14" s="69">
        <v>60002</v>
      </c>
      <c r="F14" s="133">
        <f>'1.Mérleg'!E14</f>
        <v>864800</v>
      </c>
      <c r="IT14"/>
    </row>
    <row r="15" spans="1:254" ht="15.75">
      <c r="A15" s="102" t="s">
        <v>390</v>
      </c>
      <c r="B15" s="21"/>
      <c r="C15" s="47" t="s">
        <v>282</v>
      </c>
      <c r="D15" s="22">
        <f>SUM(D11:D14)</f>
        <v>396974376</v>
      </c>
      <c r="E15" s="22">
        <f>SUM(E11:E14)</f>
        <v>451544713</v>
      </c>
      <c r="F15" s="135">
        <f>SUM(F11:F14)</f>
        <v>376533108</v>
      </c>
      <c r="IT15"/>
    </row>
    <row r="16" spans="1:254" ht="15.75">
      <c r="A16" s="102" t="s">
        <v>391</v>
      </c>
      <c r="B16" s="21"/>
      <c r="C16" s="21"/>
      <c r="D16" s="21"/>
      <c r="E16" s="21"/>
      <c r="F16" s="98"/>
      <c r="IT16"/>
    </row>
    <row r="17" spans="1:254" ht="15.75">
      <c r="A17" s="102" t="s">
        <v>392</v>
      </c>
      <c r="B17" s="21"/>
      <c r="C17" s="21"/>
      <c r="D17" s="21"/>
      <c r="E17" s="21"/>
      <c r="F17" s="98"/>
      <c r="IT17"/>
    </row>
    <row r="18" spans="1:254" ht="15.75">
      <c r="A18" s="102" t="s">
        <v>393</v>
      </c>
      <c r="B18" s="47" t="s">
        <v>23</v>
      </c>
      <c r="C18" s="29" t="s">
        <v>146</v>
      </c>
      <c r="D18" s="69">
        <v>103513680</v>
      </c>
      <c r="E18" s="69">
        <v>101930059</v>
      </c>
      <c r="F18" s="133">
        <f>'1.Mérleg'!E28</f>
        <v>124566875</v>
      </c>
      <c r="IT18"/>
    </row>
    <row r="19" spans="1:254" ht="15.75">
      <c r="A19" s="102" t="s">
        <v>394</v>
      </c>
      <c r="B19" s="47" t="s">
        <v>25</v>
      </c>
      <c r="C19" s="29" t="s">
        <v>283</v>
      </c>
      <c r="D19" s="69">
        <v>17160783</v>
      </c>
      <c r="E19" s="69">
        <v>14100949</v>
      </c>
      <c r="F19" s="133">
        <f>'1.Mérleg'!E29</f>
        <v>16509465.13</v>
      </c>
      <c r="IT19"/>
    </row>
    <row r="20" spans="1:254" ht="15.75">
      <c r="A20" s="102" t="s">
        <v>395</v>
      </c>
      <c r="B20" s="47" t="s">
        <v>27</v>
      </c>
      <c r="C20" s="29" t="s">
        <v>28</v>
      </c>
      <c r="D20" s="69">
        <v>112176163</v>
      </c>
      <c r="E20" s="69">
        <v>159855466</v>
      </c>
      <c r="F20" s="133">
        <f>'1.Mérleg'!E30</f>
        <v>198188088</v>
      </c>
      <c r="IT20"/>
    </row>
    <row r="21" spans="1:254" ht="15.75">
      <c r="A21" s="102" t="s">
        <v>396</v>
      </c>
      <c r="B21" s="93" t="s">
        <v>29</v>
      </c>
      <c r="C21" s="29" t="s">
        <v>248</v>
      </c>
      <c r="D21" s="69">
        <v>5243200</v>
      </c>
      <c r="E21" s="69">
        <v>4273234</v>
      </c>
      <c r="F21" s="133">
        <f>'1.Mérleg'!E31</f>
        <v>5726000</v>
      </c>
      <c r="IT21"/>
    </row>
    <row r="22" spans="1:254" ht="15.75">
      <c r="A22" s="102" t="s">
        <v>397</v>
      </c>
      <c r="B22" s="93" t="s">
        <v>31</v>
      </c>
      <c r="C22" s="29" t="s">
        <v>32</v>
      </c>
      <c r="D22" s="69">
        <v>83557126</v>
      </c>
      <c r="E22" s="69">
        <v>93867039</v>
      </c>
      <c r="F22" s="133">
        <f>'1.Mérleg'!E32</f>
        <v>122310936</v>
      </c>
      <c r="IT22"/>
    </row>
    <row r="23" spans="1:254" ht="15.75">
      <c r="A23" s="102" t="s">
        <v>398</v>
      </c>
      <c r="B23" s="47"/>
      <c r="C23" s="26" t="s">
        <v>284</v>
      </c>
      <c r="D23" s="22">
        <f>SUM(D18:D22)</f>
        <v>321650952</v>
      </c>
      <c r="E23" s="22">
        <f>SUM(E18:E22)</f>
        <v>374026747</v>
      </c>
      <c r="F23" s="135">
        <f>SUM(F18:F22)</f>
        <v>467301364.13</v>
      </c>
      <c r="IT23"/>
    </row>
    <row r="24" spans="1:254" ht="15.75">
      <c r="A24" s="102" t="s">
        <v>399</v>
      </c>
      <c r="B24" s="47"/>
      <c r="C24" s="21"/>
      <c r="D24" s="21"/>
      <c r="E24" s="21"/>
      <c r="F24" s="98"/>
      <c r="IT24"/>
    </row>
    <row r="25" spans="1:254" ht="15.75">
      <c r="A25" s="102" t="s">
        <v>400</v>
      </c>
      <c r="B25" s="47" t="s">
        <v>20</v>
      </c>
      <c r="C25" s="21" t="s">
        <v>19</v>
      </c>
      <c r="D25" s="69">
        <v>107603332</v>
      </c>
      <c r="E25" s="69">
        <v>178595971</v>
      </c>
      <c r="F25" s="133">
        <f>'1.Mérleg'!E22</f>
        <v>100786153</v>
      </c>
      <c r="IT25"/>
    </row>
    <row r="26" spans="1:254" ht="15.75">
      <c r="A26" s="102" t="s">
        <v>401</v>
      </c>
      <c r="B26" s="21"/>
      <c r="C26" s="47" t="s">
        <v>285</v>
      </c>
      <c r="D26" s="22">
        <f>SUM(D25)</f>
        <v>107603332</v>
      </c>
      <c r="E26" s="22">
        <f>SUM(E25)</f>
        <v>178595971</v>
      </c>
      <c r="F26" s="135">
        <f>SUM(F25)</f>
        <v>100786153</v>
      </c>
      <c r="IT26"/>
    </row>
    <row r="27" spans="1:254" ht="15.75">
      <c r="A27" s="102" t="s">
        <v>402</v>
      </c>
      <c r="B27" s="21"/>
      <c r="C27" s="21"/>
      <c r="D27" s="21"/>
      <c r="E27" s="21"/>
      <c r="F27" s="98"/>
      <c r="IT27"/>
    </row>
    <row r="28" spans="1:254" ht="15.75">
      <c r="A28" s="102" t="s">
        <v>403</v>
      </c>
      <c r="B28" s="180" t="s">
        <v>41</v>
      </c>
      <c r="C28" s="21" t="s">
        <v>40</v>
      </c>
      <c r="D28" s="69">
        <v>7322450</v>
      </c>
      <c r="E28" s="69">
        <v>3470065</v>
      </c>
      <c r="F28" s="133">
        <f>'1.Mérleg'!E40</f>
        <v>4521171</v>
      </c>
      <c r="IT28"/>
    </row>
    <row r="29" spans="1:254" ht="16.5" thickBot="1">
      <c r="A29" s="143" t="s">
        <v>404</v>
      </c>
      <c r="B29" s="144"/>
      <c r="C29" s="183" t="s">
        <v>286</v>
      </c>
      <c r="D29" s="145">
        <f>SUM(D28)</f>
        <v>7322450</v>
      </c>
      <c r="E29" s="145">
        <f>SUM(E28)</f>
        <v>3470065</v>
      </c>
      <c r="F29" s="146">
        <f>SUM(F28)</f>
        <v>4521171</v>
      </c>
      <c r="IT29"/>
    </row>
  </sheetData>
  <sheetProtection selectLockedCells="1" selectUnlockedCells="1"/>
  <mergeCells count="11">
    <mergeCell ref="A9:A10"/>
    <mergeCell ref="B9:C10"/>
    <mergeCell ref="D9:D10"/>
    <mergeCell ref="E9:E10"/>
    <mergeCell ref="F9:F10"/>
    <mergeCell ref="B1:F1"/>
    <mergeCell ref="B4:F4"/>
    <mergeCell ref="B5:F5"/>
    <mergeCell ref="C6:E6"/>
    <mergeCell ref="B2:F2"/>
    <mergeCell ref="B8:C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.28125" style="1" customWidth="1"/>
    <col min="3" max="3" width="39.7109375" style="1" customWidth="1"/>
    <col min="4" max="4" width="13.57421875" style="1" customWidth="1"/>
    <col min="5" max="5" width="14.57421875" style="1" customWidth="1"/>
    <col min="6" max="6" width="14.00390625" style="1" customWidth="1"/>
    <col min="7" max="254" width="9.140625" style="1" customWidth="1"/>
  </cols>
  <sheetData>
    <row r="1" spans="2:6" ht="15.75" customHeight="1">
      <c r="B1" s="246" t="s">
        <v>379</v>
      </c>
      <c r="C1" s="246"/>
      <c r="D1" s="246"/>
      <c r="E1" s="246"/>
      <c r="F1" s="246"/>
    </row>
    <row r="2" spans="2:6" ht="15.75" customHeight="1">
      <c r="B2" s="246" t="s">
        <v>858</v>
      </c>
      <c r="C2" s="246"/>
      <c r="D2" s="246"/>
      <c r="E2" s="246"/>
      <c r="F2" s="246"/>
    </row>
    <row r="3" spans="2:5" ht="15.75" customHeight="1">
      <c r="B3" s="10"/>
      <c r="C3" s="10"/>
      <c r="D3" s="10"/>
      <c r="E3" s="10"/>
    </row>
    <row r="4" spans="2:6" ht="15.75" customHeight="1">
      <c r="B4" s="247" t="s">
        <v>0</v>
      </c>
      <c r="C4" s="247"/>
      <c r="D4" s="247"/>
      <c r="E4" s="247"/>
      <c r="F4" s="247"/>
    </row>
    <row r="5" spans="2:6" ht="15.75" customHeight="1">
      <c r="B5" s="248" t="s">
        <v>818</v>
      </c>
      <c r="C5" s="248"/>
      <c r="D5" s="248"/>
      <c r="E5" s="248"/>
      <c r="F5" s="248"/>
    </row>
    <row r="6" spans="3:5" ht="15.75" customHeight="1" thickBot="1">
      <c r="C6" s="248"/>
      <c r="D6" s="248"/>
      <c r="E6" s="248"/>
    </row>
    <row r="7" spans="1:6" ht="15.75" customHeight="1">
      <c r="A7" s="95" t="s">
        <v>380</v>
      </c>
      <c r="B7" s="218" t="s">
        <v>381</v>
      </c>
      <c r="C7" s="218"/>
      <c r="D7" s="181" t="s">
        <v>382</v>
      </c>
      <c r="E7" s="181" t="s">
        <v>383</v>
      </c>
      <c r="F7" s="97" t="s">
        <v>384</v>
      </c>
    </row>
    <row r="8" spans="1:254" ht="15.75" customHeight="1">
      <c r="A8" s="231" t="s">
        <v>385</v>
      </c>
      <c r="B8" s="200" t="s">
        <v>1</v>
      </c>
      <c r="C8" s="200"/>
      <c r="D8" s="249" t="s">
        <v>340</v>
      </c>
      <c r="E8" s="249" t="s">
        <v>377</v>
      </c>
      <c r="F8" s="196" t="s">
        <v>378</v>
      </c>
      <c r="IT8"/>
    </row>
    <row r="9" spans="1:254" ht="15.75" customHeight="1">
      <c r="A9" s="231"/>
      <c r="B9" s="200"/>
      <c r="C9" s="200"/>
      <c r="D9" s="249"/>
      <c r="E9" s="249"/>
      <c r="F9" s="196"/>
      <c r="IT9"/>
    </row>
    <row r="10" spans="1:254" ht="15.75" customHeight="1">
      <c r="A10" s="108" t="s">
        <v>386</v>
      </c>
      <c r="B10" s="47" t="s">
        <v>13</v>
      </c>
      <c r="C10" s="21" t="s">
        <v>287</v>
      </c>
      <c r="D10" s="69">
        <v>41374828</v>
      </c>
      <c r="E10" s="69">
        <v>25353881</v>
      </c>
      <c r="F10" s="184">
        <f>'1.Mérleg'!E17</f>
        <v>15000000</v>
      </c>
      <c r="IT10"/>
    </row>
    <row r="11" spans="1:254" ht="15.75" customHeight="1">
      <c r="A11" s="108" t="s">
        <v>387</v>
      </c>
      <c r="B11" s="47" t="s">
        <v>15</v>
      </c>
      <c r="C11" s="21" t="s">
        <v>16</v>
      </c>
      <c r="D11" s="69">
        <v>598140</v>
      </c>
      <c r="E11" s="69">
        <v>587550</v>
      </c>
      <c r="F11" s="184">
        <f>'1.Mérleg'!E18</f>
        <v>25600000</v>
      </c>
      <c r="IT11"/>
    </row>
    <row r="12" spans="1:254" ht="15.75" customHeight="1">
      <c r="A12" s="108" t="s">
        <v>388</v>
      </c>
      <c r="B12" s="47" t="s">
        <v>17</v>
      </c>
      <c r="C12" s="21" t="s">
        <v>18</v>
      </c>
      <c r="D12" s="69">
        <v>143326250</v>
      </c>
      <c r="E12" s="69">
        <v>280670</v>
      </c>
      <c r="F12" s="184">
        <f>'1.Mérleg'!E19</f>
        <v>89911800</v>
      </c>
      <c r="IT12"/>
    </row>
    <row r="13" spans="1:254" ht="15.75" customHeight="1">
      <c r="A13" s="108" t="s">
        <v>389</v>
      </c>
      <c r="B13" s="47"/>
      <c r="C13" s="47" t="s">
        <v>288</v>
      </c>
      <c r="D13" s="22">
        <f>SUM(D10:D12)</f>
        <v>185299218</v>
      </c>
      <c r="E13" s="22">
        <f>SUM(E10:E12)</f>
        <v>26222101</v>
      </c>
      <c r="F13" s="135">
        <f>SUM(F10:F12)</f>
        <v>130511800</v>
      </c>
      <c r="IT13"/>
    </row>
    <row r="14" spans="1:254" ht="15.75" customHeight="1">
      <c r="A14" s="108" t="s">
        <v>390</v>
      </c>
      <c r="B14" s="47"/>
      <c r="C14" s="21"/>
      <c r="D14" s="21"/>
      <c r="E14" s="21"/>
      <c r="F14" s="98"/>
      <c r="IT14"/>
    </row>
    <row r="15" spans="1:254" ht="15.75" customHeight="1">
      <c r="A15" s="108" t="s">
        <v>391</v>
      </c>
      <c r="B15" s="47"/>
      <c r="C15" s="21"/>
      <c r="D15" s="21"/>
      <c r="E15" s="21"/>
      <c r="F15" s="98"/>
      <c r="IT15"/>
    </row>
    <row r="16" spans="1:254" ht="15.75" customHeight="1">
      <c r="A16" s="108" t="s">
        <v>392</v>
      </c>
      <c r="B16" s="47" t="s">
        <v>34</v>
      </c>
      <c r="C16" s="29" t="s">
        <v>35</v>
      </c>
      <c r="D16" s="69">
        <v>76712625</v>
      </c>
      <c r="E16" s="69">
        <v>85652177</v>
      </c>
      <c r="F16" s="133">
        <f>'1.Mérleg'!E35</f>
        <v>114709386</v>
      </c>
      <c r="IT16"/>
    </row>
    <row r="17" spans="1:254" ht="15.75" customHeight="1">
      <c r="A17" s="108" t="s">
        <v>393</v>
      </c>
      <c r="B17" s="47" t="s">
        <v>36</v>
      </c>
      <c r="C17" s="29" t="s">
        <v>37</v>
      </c>
      <c r="D17" s="69">
        <v>107450595</v>
      </c>
      <c r="E17" s="69">
        <v>96942944</v>
      </c>
      <c r="F17" s="133">
        <f>'1.Mérleg'!E36</f>
        <v>21299140</v>
      </c>
      <c r="IT17"/>
    </row>
    <row r="18" spans="1:254" ht="15.75" customHeight="1">
      <c r="A18" s="108" t="s">
        <v>394</v>
      </c>
      <c r="B18" s="47" t="s">
        <v>38</v>
      </c>
      <c r="C18" s="29" t="s">
        <v>39</v>
      </c>
      <c r="D18" s="69">
        <v>0</v>
      </c>
      <c r="E18" s="69">
        <v>0</v>
      </c>
      <c r="F18" s="133">
        <f>'1.Mérleg'!E37</f>
        <v>0</v>
      </c>
      <c r="IT18"/>
    </row>
    <row r="19" spans="1:254" ht="15.75" customHeight="1">
      <c r="A19" s="108" t="s">
        <v>395</v>
      </c>
      <c r="B19" s="21"/>
      <c r="C19" s="47" t="s">
        <v>289</v>
      </c>
      <c r="D19" s="22">
        <f>SUM(D16:D18)</f>
        <v>184163220</v>
      </c>
      <c r="E19" s="22">
        <f>SUM(E16:E18)</f>
        <v>182595121</v>
      </c>
      <c r="F19" s="135">
        <f>SUM(F16:F18)</f>
        <v>136008526</v>
      </c>
      <c r="IT19"/>
    </row>
    <row r="20" spans="1:254" ht="15.75" customHeight="1">
      <c r="A20" s="108" t="s">
        <v>396</v>
      </c>
      <c r="B20" s="21"/>
      <c r="C20" s="21"/>
      <c r="D20" s="21"/>
      <c r="E20" s="21"/>
      <c r="F20" s="98"/>
      <c r="IT20"/>
    </row>
    <row r="21" spans="1:254" ht="15.75" customHeight="1">
      <c r="A21" s="108" t="s">
        <v>397</v>
      </c>
      <c r="B21" s="21"/>
      <c r="C21" s="47"/>
      <c r="D21" s="21"/>
      <c r="E21" s="21"/>
      <c r="F21" s="98"/>
      <c r="IT21"/>
    </row>
    <row r="22" spans="1:254" ht="15.75" customHeight="1">
      <c r="A22" s="108" t="s">
        <v>398</v>
      </c>
      <c r="B22" s="47"/>
      <c r="C22" s="47" t="s">
        <v>113</v>
      </c>
      <c r="D22" s="22">
        <f>'8.Tájékoztató műk'!D15+'9.Tájékoztató felhalm.'!D13+'8.Tájékoztató műk'!D26</f>
        <v>689876926</v>
      </c>
      <c r="E22" s="22">
        <f>'8.Tájékoztató műk'!E15+'9.Tájékoztató felhalm.'!E13+'8.Tájékoztató műk'!E26</f>
        <v>656362785</v>
      </c>
      <c r="F22" s="135">
        <f>'8.Tájékoztató műk'!F15+'9.Tájékoztató felhalm.'!F13+'8.Tájékoztató műk'!F26</f>
        <v>607831061</v>
      </c>
      <c r="IT22"/>
    </row>
    <row r="23" spans="1:254" ht="15.75" customHeight="1">
      <c r="A23" s="108" t="s">
        <v>399</v>
      </c>
      <c r="B23" s="47"/>
      <c r="C23" s="47"/>
      <c r="D23" s="22"/>
      <c r="E23" s="22"/>
      <c r="F23" s="98"/>
      <c r="IT23"/>
    </row>
    <row r="24" spans="1:254" ht="15.75" customHeight="1" thickBot="1">
      <c r="A24" s="113" t="s">
        <v>400</v>
      </c>
      <c r="B24" s="183"/>
      <c r="C24" s="183" t="s">
        <v>254</v>
      </c>
      <c r="D24" s="145">
        <f>D19+'8.Tájékoztató műk'!D23+'8.Tájékoztató műk'!D29</f>
        <v>513136622</v>
      </c>
      <c r="E24" s="145">
        <f>E19+'8.Tájékoztató műk'!E23+'8.Tájékoztató műk'!E29</f>
        <v>560091933</v>
      </c>
      <c r="F24" s="146">
        <f>F19+'8.Tájékoztató műk'!F23+'8.Tájékoztató műk'!F29</f>
        <v>607831061.13</v>
      </c>
      <c r="IT24"/>
    </row>
  </sheetData>
  <sheetProtection selectLockedCells="1" selectUnlockedCells="1"/>
  <mergeCells count="11">
    <mergeCell ref="A8:A9"/>
    <mergeCell ref="B7:C7"/>
    <mergeCell ref="B8:C9"/>
    <mergeCell ref="D8:D9"/>
    <mergeCell ref="E8:E9"/>
    <mergeCell ref="F8:F9"/>
    <mergeCell ref="B2:F2"/>
    <mergeCell ref="B1:F1"/>
    <mergeCell ref="B4:F4"/>
    <mergeCell ref="B5:F5"/>
    <mergeCell ref="C6:E6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SzaboTimea</cp:lastModifiedBy>
  <cp:lastPrinted>2022-05-16T11:47:31Z</cp:lastPrinted>
  <dcterms:created xsi:type="dcterms:W3CDTF">2018-02-05T07:13:48Z</dcterms:created>
  <dcterms:modified xsi:type="dcterms:W3CDTF">2022-05-20T06:36:53Z</dcterms:modified>
  <cp:category/>
  <cp:version/>
  <cp:contentType/>
  <cp:contentStatus/>
</cp:coreProperties>
</file>